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70" windowWidth="9180" windowHeight="4770" activeTab="0"/>
  </bookViews>
  <sheets>
    <sheet name="BS" sheetId="1" r:id="rId1"/>
    <sheet name="S.Equity" sheetId="2" r:id="rId2"/>
    <sheet name="CFS" sheetId="3" r:id="rId3"/>
    <sheet name="P&amp;L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'BS'!$A$1:$J$80</definedName>
    <definedName name="_xlnm.Print_Area" localSheetId="2">'CFS'!$A$1:$L$95</definedName>
    <definedName name="_xlnm.Print_Area" localSheetId="3">'P&amp;L'!$A$2:$J$100</definedName>
    <definedName name="_xlnm.Print_Area" localSheetId="1">'S.Equity'!$A$1:$M$66</definedName>
    <definedName name="_xlnm.Print_Titles" localSheetId="3">'P&amp;L'!$20:$25</definedName>
  </definedNames>
  <calcPr fullCalcOnLoad="1"/>
</workbook>
</file>

<file path=xl/sharedStrings.xml><?xml version="1.0" encoding="utf-8"?>
<sst xmlns="http://schemas.openxmlformats.org/spreadsheetml/2006/main" count="284" uniqueCount="230">
  <si>
    <t xml:space="preserve">INSAS BERHAD </t>
  </si>
  <si>
    <t xml:space="preserve">    RM'000</t>
  </si>
  <si>
    <t>Current Assets</t>
  </si>
  <si>
    <t/>
  </si>
  <si>
    <t>Current Liabilities</t>
  </si>
  <si>
    <t>Minority Interests</t>
  </si>
  <si>
    <t>INSAS BERHAD</t>
  </si>
  <si>
    <t>Taxation</t>
  </si>
  <si>
    <t>RM'000</t>
  </si>
  <si>
    <t xml:space="preserve">      RM'000</t>
  </si>
  <si>
    <t>Inventories</t>
  </si>
  <si>
    <t>CUMULATIVE QUARTER</t>
  </si>
  <si>
    <t>As at</t>
  </si>
  <si>
    <t xml:space="preserve">As at preceding </t>
  </si>
  <si>
    <t>Marketable securities</t>
  </si>
  <si>
    <t xml:space="preserve">Deposits with licensed banks and </t>
  </si>
  <si>
    <t xml:space="preserve">  financial institutions</t>
  </si>
  <si>
    <t>Cash and bank balances</t>
  </si>
  <si>
    <t>Loans and borrowings</t>
  </si>
  <si>
    <t>ended</t>
  </si>
  <si>
    <t>quarter ended</t>
  </si>
  <si>
    <t>Revenue</t>
  </si>
  <si>
    <t>Preceding corresponding</t>
  </si>
  <si>
    <t>Year to-date</t>
  </si>
  <si>
    <t>year to-date</t>
  </si>
  <si>
    <t>Company No. 4081-M</t>
  </si>
  <si>
    <t>(Incorporated in Malaysia)</t>
  </si>
  <si>
    <t>9th Floor, Exchange Square</t>
  </si>
  <si>
    <t>Bukit Kewangan</t>
  </si>
  <si>
    <t>50200 Kuala Lumpur</t>
  </si>
  <si>
    <t xml:space="preserve">CONDENSED CONSOLIDATED  INCOME STATEMENTS </t>
  </si>
  <si>
    <t>- Basic</t>
  </si>
  <si>
    <t>- Diluted</t>
  </si>
  <si>
    <t>CONDENSED CONSOLIDATED BALANCE SHEETS</t>
  </si>
  <si>
    <t>Share</t>
  </si>
  <si>
    <t xml:space="preserve">Share </t>
  </si>
  <si>
    <t>Reserve</t>
  </si>
  <si>
    <t>Exchange</t>
  </si>
  <si>
    <t>Treasury</t>
  </si>
  <si>
    <t>Accumulated</t>
  </si>
  <si>
    <t>Currency translation differences</t>
  </si>
  <si>
    <t>Total</t>
  </si>
  <si>
    <t>Repurchase of shares</t>
  </si>
  <si>
    <t>.</t>
  </si>
  <si>
    <t>Cash flows from operating activities</t>
  </si>
  <si>
    <t>Non-cash items</t>
  </si>
  <si>
    <t>Finance costs</t>
  </si>
  <si>
    <t>Interest income</t>
  </si>
  <si>
    <t>Changes in working capital :</t>
  </si>
  <si>
    <t>Net changes in current assets</t>
  </si>
  <si>
    <t>Net changes in current liabilities</t>
  </si>
  <si>
    <t>Tax paid</t>
  </si>
  <si>
    <t>Cash flows from investing activities</t>
  </si>
  <si>
    <t>Purchase of property, plant and equipment</t>
  </si>
  <si>
    <t>Proceeds from disposal of property, plant and equipment</t>
  </si>
  <si>
    <t>Cash flows from financing activities</t>
  </si>
  <si>
    <t>Monies held in trust</t>
  </si>
  <si>
    <t>Dividend received</t>
  </si>
  <si>
    <t>Exchange differences</t>
  </si>
  <si>
    <t>Cash and cash equivalents comprise of :-</t>
  </si>
  <si>
    <t>Deposits with licensed banks and financial institutions</t>
  </si>
  <si>
    <t>INDIVIDUAL QUARTER</t>
  </si>
  <si>
    <t>Adjustments for :</t>
  </si>
  <si>
    <t>(see Note 1)</t>
  </si>
  <si>
    <t>ICULS-equity</t>
  </si>
  <si>
    <t>component</t>
  </si>
  <si>
    <t>Distribution to holders of ICULS</t>
  </si>
  <si>
    <t>Note 1</t>
  </si>
  <si>
    <t>Current quarter</t>
  </si>
  <si>
    <t xml:space="preserve">Preceding </t>
  </si>
  <si>
    <t>Note 2</t>
  </si>
  <si>
    <t>financial year ended</t>
  </si>
  <si>
    <t>(Audited)</t>
  </si>
  <si>
    <t>BURSA MALAYSIA SECURITIES BERHAD</t>
  </si>
  <si>
    <t>Preceding financial</t>
  </si>
  <si>
    <t>Profit before taxation</t>
  </si>
  <si>
    <t>(see Note 2)</t>
  </si>
  <si>
    <t>Operating profit before working capital changes</t>
  </si>
  <si>
    <t>Tax recoverable</t>
  </si>
  <si>
    <t>Tax payables</t>
  </si>
  <si>
    <t>Loan drawdown</t>
  </si>
  <si>
    <t xml:space="preserve">Quarter ended </t>
  </si>
  <si>
    <t>Repayment of loans and bank borrowings</t>
  </si>
  <si>
    <t>Repayment of finance payables</t>
  </si>
  <si>
    <t>As at 1 July 2005</t>
  </si>
  <si>
    <t>corresponding</t>
  </si>
  <si>
    <t>Overdrafts</t>
  </si>
  <si>
    <t>Fixed deposits pledged</t>
  </si>
  <si>
    <t>30/06/2006</t>
  </si>
  <si>
    <t>ASSETS</t>
  </si>
  <si>
    <t>Non-current Assets</t>
  </si>
  <si>
    <t>TOTAL ASSETS</t>
  </si>
  <si>
    <t>EQUITY AND LIABILITIES</t>
  </si>
  <si>
    <t>Total Equity</t>
  </si>
  <si>
    <t>Non-current Liabilities</t>
  </si>
  <si>
    <t>TOTAL LIABILITIES</t>
  </si>
  <si>
    <t>TOTAL EQUITY AND LIABILITIES</t>
  </si>
  <si>
    <t>As at 1 July 2006</t>
  </si>
  <si>
    <t>Minority</t>
  </si>
  <si>
    <t xml:space="preserve">Total </t>
  </si>
  <si>
    <t>Attributable to :</t>
  </si>
  <si>
    <t>Earnings per share (in sen)</t>
  </si>
  <si>
    <t>Cash and cash equivalents at beginning of the period</t>
  </si>
  <si>
    <t>Cash and cash equivalents at end of the period</t>
  </si>
  <si>
    <t>(see Note 3)</t>
  </si>
  <si>
    <t>Note 3</t>
  </si>
  <si>
    <t xml:space="preserve">                          Company No. 4081-M</t>
  </si>
  <si>
    <t xml:space="preserve">                           (Incorporated in Malaysia)</t>
  </si>
  <si>
    <t>Cost of sales</t>
  </si>
  <si>
    <t>Administrative expenses</t>
  </si>
  <si>
    <t>Other operating expenses</t>
  </si>
  <si>
    <t>Minority interests</t>
  </si>
  <si>
    <t>Trade receivables</t>
  </si>
  <si>
    <t>Other receivables, deposits and prepayments</t>
  </si>
  <si>
    <t xml:space="preserve">Trade payables </t>
  </si>
  <si>
    <t xml:space="preserve">(The Condensed Consolidated Cash Flow Statements should be read in conjunction with the </t>
  </si>
  <si>
    <t>audited financial statements for the year ended 30 June 2006 and the accompanying</t>
  </si>
  <si>
    <t xml:space="preserve">  quoted securities held for long term</t>
  </si>
  <si>
    <t>Other payables and accruals</t>
  </si>
  <si>
    <t>statements for the year ended 30 June 2006 and the accompanying explanatory notes attached</t>
  </si>
  <si>
    <t>to the Interim Financial Statements)</t>
  </si>
  <si>
    <t xml:space="preserve">(The Condensed Consolidated Income Statements should be read in conjunction with the audited financial statements for the year </t>
  </si>
  <si>
    <t>ended 30 June 2006 and the accompanying explanatory notes attached to the Interim Financial Statements)</t>
  </si>
  <si>
    <t>capital</t>
  </si>
  <si>
    <t>premium</t>
  </si>
  <si>
    <t>fund</t>
  </si>
  <si>
    <t>translation</t>
  </si>
  <si>
    <t>reserve</t>
  </si>
  <si>
    <t>shares</t>
  </si>
  <si>
    <t>losses</t>
  </si>
  <si>
    <t>interests</t>
  </si>
  <si>
    <t>equity</t>
  </si>
  <si>
    <t>(The Condensed Consolidated Statements of Changes in Equity should be read in conjunction with the audited financial statements for the year ended</t>
  </si>
  <si>
    <t>30 June 2006 and the accompanying explanatory notes attached to the Interim Financial Statements)</t>
  </si>
  <si>
    <t>explanatory notes attached to the Interim Financial Statements)</t>
  </si>
  <si>
    <t>Loss arising from disposal of long term investment</t>
  </si>
  <si>
    <t>Exceptional items</t>
  </si>
  <si>
    <t>Exceptional items represent:</t>
  </si>
  <si>
    <t>Proceeds from disposal of investment properties</t>
  </si>
  <si>
    <t>Dividends paid to minority shareholders</t>
  </si>
  <si>
    <t>Proceeds from disposal of long term investments</t>
  </si>
  <si>
    <t>Purchase of long term investments</t>
  </si>
  <si>
    <t>Net cash generated from/(used in) investing activities</t>
  </si>
  <si>
    <t>Net cash used in share buyback</t>
  </si>
  <si>
    <t>Net cash (used in)/generated from financing activities</t>
  </si>
  <si>
    <t>Property, plant and equipment</t>
  </si>
  <si>
    <t>Investment properties</t>
  </si>
  <si>
    <t>Land held for development</t>
  </si>
  <si>
    <t>Long term investments</t>
  </si>
  <si>
    <t>Investment in associate companies</t>
  </si>
  <si>
    <t>Intangible assets</t>
  </si>
  <si>
    <t>Deferred tax assets</t>
  </si>
  <si>
    <t>Share capital</t>
  </si>
  <si>
    <t>Reserves</t>
  </si>
  <si>
    <t>8% Irredeemable Convertible Unsecured</t>
  </si>
  <si>
    <t>Loan Stocks 1999/2009</t>
  </si>
  <si>
    <t>Accumulated losses</t>
  </si>
  <si>
    <t>Finance payables</t>
  </si>
  <si>
    <t>Deferred tax liabilities</t>
  </si>
  <si>
    <t xml:space="preserve">(The Condensed Consolidated Balance Sheets should be read in conjunction with the audited financial </t>
  </si>
  <si>
    <t xml:space="preserve">  value of quoted marketable securities</t>
  </si>
  <si>
    <t xml:space="preserve">Writeback of/(Provision for) diminution in </t>
  </si>
  <si>
    <t>Cash used in operations</t>
  </si>
  <si>
    <t>Net cash used in operating activities</t>
  </si>
  <si>
    <t>Long term borrowings</t>
  </si>
  <si>
    <t>Acquisition of equity interest in subsidiary</t>
  </si>
  <si>
    <t xml:space="preserve"> companies </t>
  </si>
  <si>
    <t>Deemed disposal of equity interest in</t>
  </si>
  <si>
    <t xml:space="preserve"> subsidiary companies</t>
  </si>
  <si>
    <t xml:space="preserve">Share of profit less losses of </t>
  </si>
  <si>
    <t xml:space="preserve"> associate companies</t>
  </si>
  <si>
    <t xml:space="preserve">Unrealised exchange gain/(loss) on translation </t>
  </si>
  <si>
    <t xml:space="preserve">  of long term investment</t>
  </si>
  <si>
    <t>Net assets per share (RM)*</t>
  </si>
  <si>
    <t>Net decrease in cash and cash equivalents</t>
  </si>
  <si>
    <t>UNAUDITED FINANCIAL REPORT  FOR THE YEAR ENDED 30 JUNE 2007.</t>
  </si>
  <si>
    <t>30/6/2007</t>
  </si>
  <si>
    <t>Accrued billings</t>
  </si>
  <si>
    <t>Progress billings</t>
  </si>
  <si>
    <t>UNAUDITED FINANCIAL REPORT FOR THE YEAR ENDED 30 JUNE 2007.</t>
  </si>
  <si>
    <t>CONDENSED CONSOLIDATED STATEMENTS OF CHANGES IN EQUITY FOR THE YEAR ENDED 30 JUNE 2007.</t>
  </si>
  <si>
    <t>Balance as at 30 June 2007</t>
  </si>
  <si>
    <t>Year ended 30 June 2007</t>
  </si>
  <si>
    <t>29 August 2007</t>
  </si>
  <si>
    <t>Year ended 30 June 2006</t>
  </si>
  <si>
    <t>Balance as at 30 June 2006</t>
  </si>
  <si>
    <t>Repayment of capital to minority shareholders</t>
  </si>
  <si>
    <t>Payment to minority interest for acquisition of</t>
  </si>
  <si>
    <t xml:space="preserve"> additional equity interest in a subsidiary company</t>
  </si>
  <si>
    <t xml:space="preserve">   (excluding ICULS and Minority Interests) divided by the total number of ordinary shares, net of shares bought back.</t>
  </si>
  <si>
    <t xml:space="preserve">                               &lt; -------------------- Attributable to Equity Holders of the Parent ------------------------ &gt;</t>
  </si>
  <si>
    <t>CONDENSED CONSOLIDATED CASH FLOW STATEMENTS FOR THE YEAR ENDED 30 JUNE 2007.</t>
  </si>
  <si>
    <t>year ended</t>
  </si>
  <si>
    <t>30/6/2006</t>
  </si>
  <si>
    <t>Subscription of shares in an associate company</t>
  </si>
  <si>
    <t>Payment for development expenditure</t>
  </si>
  <si>
    <t>Payment to minority shareholders for acquisition of additional equity</t>
  </si>
  <si>
    <t xml:space="preserve"> interest in a subsidiary company</t>
  </si>
  <si>
    <t xml:space="preserve">Cash received from partial redemption of preference shares in an </t>
  </si>
  <si>
    <t xml:space="preserve"> associate company</t>
  </si>
  <si>
    <t xml:space="preserve">Net cash acquired/(used) in acquisition of equity interest in subsidiary </t>
  </si>
  <si>
    <t xml:space="preserve"> companies</t>
  </si>
  <si>
    <t>Net cash outflow on disposal of subsidiary companies</t>
  </si>
  <si>
    <t>Payment on investment properties</t>
  </si>
  <si>
    <t xml:space="preserve"> subsidiary company</t>
  </si>
  <si>
    <t xml:space="preserve">Proceeds received from subscription of shares by minority shareholders </t>
  </si>
  <si>
    <t xml:space="preserve"> in a subsidiary company</t>
  </si>
  <si>
    <t>Receipt from a shareholder for subscription of ordinary shares in an</t>
  </si>
  <si>
    <t xml:space="preserve">Receipt from minority shareholder for the disposal of equity interest in a </t>
  </si>
  <si>
    <t xml:space="preserve"> (2006 : RM8,302,000).  In accordance with the provisions of FRS 132 : Financial Instruments : Disclosure and Presentation, the ICULS interest of RM8,301,000 </t>
  </si>
  <si>
    <t xml:space="preserve"> is disclosed as a distribution of equity in the Statement of Changes in Equity.</t>
  </si>
  <si>
    <t>The Finance costs exclude the 8% Irredeemable Convertible Unsecured Loan Stock ("ICULS") interest for the year ended 30 June 2007 of RM8,301,000</t>
  </si>
  <si>
    <t>Year ended</t>
  </si>
  <si>
    <t>Gain on disposal of investment properties</t>
  </si>
  <si>
    <t>Provision for diminution in value of long term</t>
  </si>
  <si>
    <t xml:space="preserve"> investment</t>
  </si>
  <si>
    <t>Capital repayment from an associate company</t>
  </si>
  <si>
    <t>Reversal of impairment loss on investment property</t>
  </si>
  <si>
    <t>Included in Profit before taxation are the following items :-</t>
  </si>
  <si>
    <t>Gain on disposal of quoted securities</t>
  </si>
  <si>
    <t>Current year</t>
  </si>
  <si>
    <t>Profit for the year</t>
  </si>
  <si>
    <t>Net profit for the year</t>
  </si>
  <si>
    <t>Property development costs</t>
  </si>
  <si>
    <t>Other income</t>
  </si>
  <si>
    <t xml:space="preserve">                          INSAS BERHAD </t>
  </si>
  <si>
    <t xml:space="preserve">Writeback(Provision) for diminution in value of </t>
  </si>
  <si>
    <t>Equity Attributable To Equity Holders of the Company</t>
  </si>
  <si>
    <t>* Net assets per share attributable to ordinary equity holders of the Company (RM) is computed based on Total Shareholders' Funds</t>
  </si>
  <si>
    <t>Equity holders of the Company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</si>
</sst>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%"/>
    <numFmt numFmtId="169" formatCode="mmmm\ d\,\ yyyy"/>
    <numFmt numFmtId="170" formatCode="0.0000"/>
    <numFmt numFmtId="171" formatCode="0.000"/>
    <numFmt numFmtId="172" formatCode="mm/dd/yy"/>
    <numFmt numFmtId="173" formatCode="0_);[Red]\(0\)"/>
  </numFmts>
  <fonts count="6">
    <font>
      <sz val="10"/>
      <name val="Arial"/>
      <family val="0"/>
    </font>
    <font>
      <b/>
      <sz val="10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39" fontId="1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166" fontId="0" fillId="0" borderId="0" xfId="15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66" fontId="0" fillId="0" borderId="0" xfId="15" applyNumberFormat="1" applyFont="1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39" fontId="0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39" fontId="3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9" fontId="3" fillId="0" borderId="0" xfId="0" applyNumberFormat="1" applyFont="1" applyAlignment="1" quotePrefix="1">
      <alignment horizontal="left"/>
    </xf>
    <xf numFmtId="38" fontId="2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0" fontId="2" fillId="0" borderId="4" xfId="0" applyFont="1" applyBorder="1" applyAlignment="1">
      <alignment/>
    </xf>
    <xf numFmtId="169" fontId="2" fillId="0" borderId="0" xfId="0" applyNumberFormat="1" applyFont="1" applyAlignment="1">
      <alignment horizontal="left"/>
    </xf>
    <xf numFmtId="15" fontId="2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>
      <alignment horizontal="center"/>
    </xf>
    <xf numFmtId="39" fontId="2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39" fontId="2" fillId="0" borderId="0" xfId="0" applyNumberFormat="1" applyFont="1" applyAlignment="1">
      <alignment/>
    </xf>
    <xf numFmtId="0" fontId="2" fillId="0" borderId="0" xfId="0" applyFont="1" applyAlignment="1">
      <alignment/>
    </xf>
    <xf numFmtId="39" fontId="2" fillId="0" borderId="0" xfId="0" applyNumberFormat="1" applyFont="1" applyAlignment="1" quotePrefix="1">
      <alignment horizontal="left"/>
    </xf>
    <xf numFmtId="166" fontId="2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0" xfId="15" applyNumberFormat="1" applyBorder="1" applyAlignment="1">
      <alignment/>
    </xf>
    <xf numFmtId="166" fontId="0" fillId="0" borderId="5" xfId="15" applyNumberFormat="1" applyBorder="1" applyAlignment="1">
      <alignment/>
    </xf>
    <xf numFmtId="166" fontId="0" fillId="0" borderId="0" xfId="0" applyNumberFormat="1" applyAlignment="1">
      <alignment/>
    </xf>
    <xf numFmtId="166" fontId="2" fillId="0" borderId="0" xfId="15" applyNumberFormat="1" applyFont="1" applyAlignment="1" quotePrefix="1">
      <alignment/>
    </xf>
    <xf numFmtId="166" fontId="0" fillId="0" borderId="6" xfId="15" applyNumberFormat="1" applyBorder="1" applyAlignment="1">
      <alignment/>
    </xf>
    <xf numFmtId="166" fontId="0" fillId="0" borderId="7" xfId="15" applyNumberFormat="1" applyBorder="1" applyAlignment="1">
      <alignment/>
    </xf>
    <xf numFmtId="166" fontId="0" fillId="0" borderId="8" xfId="15" applyNumberFormat="1" applyBorder="1" applyAlignment="1">
      <alignment/>
    </xf>
    <xf numFmtId="0" fontId="0" fillId="0" borderId="0" xfId="0" applyAlignment="1" quotePrefix="1">
      <alignment horizontal="left"/>
    </xf>
    <xf numFmtId="166" fontId="0" fillId="0" borderId="2" xfId="15" applyNumberFormat="1" applyBorder="1" applyAlignment="1">
      <alignment/>
    </xf>
    <xf numFmtId="166" fontId="2" fillId="0" borderId="0" xfId="15" applyNumberFormat="1" applyFont="1" applyAlignment="1" quotePrefix="1">
      <alignment horizontal="left"/>
    </xf>
    <xf numFmtId="166" fontId="0" fillId="0" borderId="0" xfId="15" applyNumberFormat="1" applyFont="1" applyAlignment="1" quotePrefix="1">
      <alignment horizontal="left"/>
    </xf>
    <xf numFmtId="0" fontId="2" fillId="0" borderId="4" xfId="0" applyFont="1" applyBorder="1" applyAlignment="1" quotePrefix="1">
      <alignment horizontal="left"/>
    </xf>
    <xf numFmtId="39" fontId="2" fillId="0" borderId="4" xfId="0" applyNumberFormat="1" applyFont="1" applyBorder="1" applyAlignment="1" quotePrefix="1">
      <alignment horizontal="left"/>
    </xf>
    <xf numFmtId="39" fontId="2" fillId="0" borderId="0" xfId="0" applyNumberFormat="1" applyFont="1" applyAlignment="1" quotePrefix="1">
      <alignment horizontal="left"/>
    </xf>
    <xf numFmtId="166" fontId="0" fillId="0" borderId="0" xfId="15" applyNumberFormat="1" applyFont="1" applyAlignment="1">
      <alignment horizontal="center"/>
    </xf>
    <xf numFmtId="15" fontId="2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5" fontId="2" fillId="0" borderId="5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166" fontId="0" fillId="0" borderId="9" xfId="15" applyNumberFormat="1" applyBorder="1" applyAlignment="1">
      <alignment/>
    </xf>
    <xf numFmtId="43" fontId="0" fillId="0" borderId="5" xfId="15" applyNumberFormat="1" applyBorder="1" applyAlignment="1">
      <alignment/>
    </xf>
    <xf numFmtId="15" fontId="2" fillId="0" borderId="0" xfId="0" applyNumberFormat="1" applyFont="1" applyBorder="1" applyAlignment="1">
      <alignment horizontal="center"/>
    </xf>
    <xf numFmtId="0" fontId="2" fillId="0" borderId="3" xfId="0" applyFont="1" applyBorder="1" applyAlignment="1" quotePrefix="1">
      <alignment horizontal="center"/>
    </xf>
    <xf numFmtId="15" fontId="2" fillId="0" borderId="0" xfId="0" applyNumberFormat="1" applyFont="1" applyAlignment="1" quotePrefix="1">
      <alignment horizontal="center"/>
    </xf>
    <xf numFmtId="166" fontId="2" fillId="0" borderId="0" xfId="15" applyNumberFormat="1" applyFont="1" applyAlignment="1">
      <alignment horizontal="center"/>
    </xf>
    <xf numFmtId="172" fontId="2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166" fontId="0" fillId="0" borderId="0" xfId="15" applyNumberFormat="1" applyFont="1" applyAlignment="1">
      <alignment/>
    </xf>
    <xf numFmtId="43" fontId="0" fillId="0" borderId="0" xfId="15" applyFont="1" applyBorder="1" applyAlignment="1">
      <alignment/>
    </xf>
    <xf numFmtId="166" fontId="0" fillId="0" borderId="0" xfId="15" applyNumberFormat="1" applyFont="1" applyAlignment="1">
      <alignment horizontal="center"/>
    </xf>
    <xf numFmtId="166" fontId="0" fillId="0" borderId="0" xfId="15" applyNumberFormat="1" applyFont="1" applyAlignment="1" quotePrefix="1">
      <alignment horizontal="center"/>
    </xf>
    <xf numFmtId="172" fontId="0" fillId="0" borderId="0" xfId="0" applyNumberFormat="1" applyFont="1" applyAlignment="1" quotePrefix="1">
      <alignment horizontal="center"/>
    </xf>
    <xf numFmtId="15" fontId="0" fillId="0" borderId="0" xfId="0" applyNumberFormat="1" applyFont="1" applyAlignment="1" quotePrefix="1">
      <alignment horizontal="center"/>
    </xf>
    <xf numFmtId="166" fontId="2" fillId="0" borderId="0" xfId="15" applyNumberFormat="1" applyFont="1" applyAlignment="1" quotePrefix="1">
      <alignment horizontal="center"/>
    </xf>
    <xf numFmtId="15" fontId="2" fillId="0" borderId="0" xfId="0" applyNumberFormat="1" applyFont="1" applyAlignment="1" quotePrefix="1">
      <alignment horizontal="left"/>
    </xf>
    <xf numFmtId="0" fontId="2" fillId="0" borderId="5" xfId="0" applyFont="1" applyBorder="1" applyAlignment="1" quotePrefix="1">
      <alignment horizontal="center"/>
    </xf>
    <xf numFmtId="15" fontId="2" fillId="0" borderId="5" xfId="0" applyNumberFormat="1" applyFont="1" applyBorder="1" applyAlignment="1" quotePrefix="1">
      <alignment horizontal="center"/>
    </xf>
    <xf numFmtId="166" fontId="0" fillId="0" borderId="0" xfId="0" applyNumberFormat="1" applyBorder="1" applyAlignment="1">
      <alignment/>
    </xf>
    <xf numFmtId="166" fontId="0" fillId="0" borderId="5" xfId="15" applyNumberFormat="1" applyFont="1" applyBorder="1" applyAlignment="1">
      <alignment/>
    </xf>
    <xf numFmtId="0" fontId="0" fillId="0" borderId="0" xfId="0" applyAlignment="1">
      <alignment horizontal="center"/>
    </xf>
    <xf numFmtId="40" fontId="0" fillId="0" borderId="5" xfId="15" applyNumberFormat="1" applyBorder="1" applyAlignment="1">
      <alignment/>
    </xf>
    <xf numFmtId="166" fontId="0" fillId="0" borderId="10" xfId="15" applyNumberFormat="1" applyBorder="1" applyAlignment="1">
      <alignment/>
    </xf>
    <xf numFmtId="166" fontId="0" fillId="0" borderId="5" xfId="15" applyNumberFormat="1" applyBorder="1" applyAlignment="1">
      <alignment horizontal="right"/>
    </xf>
    <xf numFmtId="0" fontId="0" fillId="0" borderId="0" xfId="0" applyAlignment="1">
      <alignment horizontal="left"/>
    </xf>
    <xf numFmtId="166" fontId="0" fillId="0" borderId="10" xfId="0" applyNumberFormat="1" applyBorder="1" applyAlignment="1">
      <alignment/>
    </xf>
    <xf numFmtId="37" fontId="0" fillId="0" borderId="10" xfId="0" applyNumberFormat="1" applyBorder="1" applyAlignment="1">
      <alignment/>
    </xf>
    <xf numFmtId="166" fontId="2" fillId="0" borderId="3" xfId="15" applyNumberFormat="1" applyFont="1" applyBorder="1" applyAlignment="1">
      <alignment/>
    </xf>
    <xf numFmtId="166" fontId="2" fillId="0" borderId="11" xfId="15" applyNumberFormat="1" applyFont="1" applyBorder="1" applyAlignment="1">
      <alignment/>
    </xf>
    <xf numFmtId="166" fontId="2" fillId="0" borderId="12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38" fontId="0" fillId="0" borderId="7" xfId="0" applyNumberFormat="1" applyFont="1" applyBorder="1" applyAlignment="1">
      <alignment/>
    </xf>
    <xf numFmtId="39" fontId="2" fillId="0" borderId="3" xfId="15" applyNumberFormat="1" applyFont="1" applyBorder="1" applyAlignment="1">
      <alignment/>
    </xf>
    <xf numFmtId="166" fontId="0" fillId="0" borderId="0" xfId="15" applyNumberFormat="1" applyFont="1" applyAlignment="1">
      <alignment horizontal="left"/>
    </xf>
    <xf numFmtId="38" fontId="0" fillId="0" borderId="10" xfId="0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39" fontId="2" fillId="0" borderId="0" xfId="0" applyNumberFormat="1" applyFont="1" applyAlignment="1">
      <alignment horizontal="left"/>
    </xf>
    <xf numFmtId="3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166" fontId="2" fillId="0" borderId="13" xfId="15" applyNumberFormat="1" applyFont="1" applyBorder="1" applyAlignment="1">
      <alignment/>
    </xf>
    <xf numFmtId="166" fontId="0" fillId="0" borderId="14" xfId="15" applyNumberFormat="1" applyBorder="1" applyAlignment="1">
      <alignment/>
    </xf>
    <xf numFmtId="166" fontId="0" fillId="0" borderId="10" xfId="15" applyNumberFormat="1" applyFont="1" applyBorder="1" applyAlignment="1">
      <alignment/>
    </xf>
    <xf numFmtId="0" fontId="0" fillId="0" borderId="0" xfId="0" applyFont="1" applyBorder="1" applyAlignment="1">
      <alignment/>
    </xf>
    <xf numFmtId="37" fontId="2" fillId="0" borderId="0" xfId="0" applyNumberFormat="1" applyFont="1" applyAlignment="1">
      <alignment/>
    </xf>
    <xf numFmtId="43" fontId="0" fillId="0" borderId="5" xfId="15" applyNumberFormat="1" applyFont="1" applyBorder="1" applyAlignment="1">
      <alignment/>
    </xf>
    <xf numFmtId="166" fontId="0" fillId="0" borderId="0" xfId="15" applyNumberFormat="1" applyFont="1" applyBorder="1" applyAlignment="1">
      <alignment/>
    </xf>
    <xf numFmtId="37" fontId="0" fillId="0" borderId="0" xfId="0" applyNumberFormat="1" applyAlignment="1">
      <alignment/>
    </xf>
    <xf numFmtId="166" fontId="0" fillId="0" borderId="7" xfId="15" applyNumberFormat="1" applyFont="1" applyBorder="1" applyAlignment="1">
      <alignment/>
    </xf>
    <xf numFmtId="169" fontId="2" fillId="0" borderId="0" xfId="0" applyNumberFormat="1" applyFont="1" applyAlignment="1" quotePrefix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39" fontId="3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center"/>
    </xf>
    <xf numFmtId="39" fontId="3" fillId="0" borderId="0" xfId="0" applyNumberFormat="1" applyFont="1" applyAlignment="1" quotePrefix="1">
      <alignment horizontal="center"/>
    </xf>
    <xf numFmtId="39" fontId="2" fillId="0" borderId="0" xfId="0" applyNumberFormat="1" applyFont="1" applyAlignment="1" quotePrefix="1">
      <alignment horizontal="center"/>
    </xf>
    <xf numFmtId="166" fontId="2" fillId="0" borderId="0" xfId="15" applyNumberFormat="1" applyFont="1" applyAlignment="1" quotePrefix="1">
      <alignment horizontal="left"/>
    </xf>
    <xf numFmtId="166" fontId="2" fillId="0" borderId="0" xfId="15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6" xfId="0" applyFont="1" applyBorder="1" applyAlignment="1" quotePrefix="1">
      <alignment horizontal="center"/>
    </xf>
    <xf numFmtId="0" fontId="2" fillId="0" borderId="17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6" fontId="2" fillId="0" borderId="0" xfId="15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winnie\con062006pf\Eps06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0607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ps06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undfl06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winnie\con062006pf\Co0606i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inf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o0607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Chart1"/>
      <sheetName val="June06"/>
      <sheetName val="Treasury shares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6">
        <row r="36">
          <cell r="C36">
            <v>604915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RP&amp;L"/>
      <sheetName val="MRYTD"/>
      <sheetName val="MRDIV"/>
      <sheetName val="forexc IS"/>
      <sheetName val="INTERCO"/>
      <sheetName val="PROREC"/>
      <sheetName val="StatmtEquity"/>
      <sheetName val="IntercoSales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P&amp;L by function ye99"/>
      <sheetName val="RPT"/>
      <sheetName val="Conso Notes to accts"/>
      <sheetName val="Project interest recognised"/>
      <sheetName val="Goodwill"/>
      <sheetName val="MINORITY.XLS"/>
    </sheetNames>
    <sheetDataSet>
      <sheetData sheetId="2">
        <row r="113">
          <cell r="Y113">
            <v>1397</v>
          </cell>
          <cell r="Z113">
            <v>5132.402173439999</v>
          </cell>
          <cell r="AA113">
            <v>2703.96</v>
          </cell>
          <cell r="AB113">
            <v>4615.219650509999</v>
          </cell>
        </row>
      </sheetData>
      <sheetData sheetId="8">
        <row r="10">
          <cell r="U10">
            <v>25417.426320560997</v>
          </cell>
        </row>
        <row r="15">
          <cell r="U15">
            <v>35048.66948833113</v>
          </cell>
        </row>
        <row r="18">
          <cell r="U18">
            <v>69159.63154</v>
          </cell>
        </row>
        <row r="20">
          <cell r="U20">
            <v>24419</v>
          </cell>
        </row>
        <row r="22">
          <cell r="U22">
            <v>37718</v>
          </cell>
        </row>
        <row r="24">
          <cell r="U24">
            <v>69306.20999999999</v>
          </cell>
        </row>
        <row r="26">
          <cell r="U26">
            <v>1632.5569637785045</v>
          </cell>
        </row>
        <row r="29">
          <cell r="U29">
            <v>4516.754463</v>
          </cell>
        </row>
        <row r="31">
          <cell r="U31">
            <v>67020.9051</v>
          </cell>
        </row>
        <row r="32">
          <cell r="U32">
            <v>418969.515482952</v>
          </cell>
        </row>
        <row r="33">
          <cell r="U33">
            <v>4229</v>
          </cell>
        </row>
        <row r="34">
          <cell r="U34">
            <v>35550.58954266883</v>
          </cell>
        </row>
        <row r="37">
          <cell r="U37">
            <v>29571.899404471107</v>
          </cell>
        </row>
        <row r="38">
          <cell r="U38">
            <v>12938.68582</v>
          </cell>
        </row>
        <row r="50">
          <cell r="U50">
            <v>0</v>
          </cell>
        </row>
        <row r="51">
          <cell r="U51">
            <v>16408.627962815</v>
          </cell>
        </row>
        <row r="52">
          <cell r="U52">
            <v>152335.74647143402</v>
          </cell>
        </row>
        <row r="53">
          <cell r="U53">
            <v>43225.76414</v>
          </cell>
        </row>
        <row r="54">
          <cell r="U54">
            <v>32448.272283087</v>
          </cell>
        </row>
        <row r="59">
          <cell r="U59">
            <v>262327.335507097</v>
          </cell>
        </row>
        <row r="60">
          <cell r="U60">
            <v>4002</v>
          </cell>
        </row>
        <row r="61">
          <cell r="U61">
            <v>29917.279988365</v>
          </cell>
        </row>
        <row r="62">
          <cell r="U62">
            <v>2400</v>
          </cell>
        </row>
        <row r="66">
          <cell r="U66">
            <v>386.04789246400003</v>
          </cell>
        </row>
        <row r="69">
          <cell r="U69">
            <v>3259.5276</v>
          </cell>
        </row>
        <row r="71">
          <cell r="U71">
            <v>12907</v>
          </cell>
        </row>
        <row r="77">
          <cell r="U77">
            <v>159.32550999999998</v>
          </cell>
        </row>
        <row r="82">
          <cell r="U82">
            <v>618966.2163726198</v>
          </cell>
        </row>
        <row r="86">
          <cell r="U86">
            <v>66393.57</v>
          </cell>
        </row>
        <row r="89">
          <cell r="U89">
            <v>1199</v>
          </cell>
        </row>
        <row r="90">
          <cell r="U90">
            <v>-8939</v>
          </cell>
        </row>
        <row r="91">
          <cell r="U91">
            <v>8860.82958284174</v>
          </cell>
        </row>
        <row r="103">
          <cell r="U103">
            <v>-8301</v>
          </cell>
        </row>
        <row r="106">
          <cell r="U106">
            <v>-46629.958391381246</v>
          </cell>
        </row>
        <row r="108">
          <cell r="U108">
            <v>12107.070647465918</v>
          </cell>
        </row>
        <row r="114">
          <cell r="U114">
            <v>0</v>
          </cell>
        </row>
        <row r="115">
          <cell r="U115">
            <v>346.9077063579999</v>
          </cell>
        </row>
        <row r="116">
          <cell r="U116">
            <v>3279</v>
          </cell>
        </row>
        <row r="117">
          <cell r="U117">
            <v>103768</v>
          </cell>
        </row>
        <row r="118">
          <cell r="U118">
            <v>5530</v>
          </cell>
        </row>
        <row r="129">
          <cell r="U129">
            <v>212185.4524820721</v>
          </cell>
        </row>
        <row r="233">
          <cell r="U233">
            <v>13847.046199999999</v>
          </cell>
        </row>
        <row r="234">
          <cell r="U234">
            <v>4332.493329699999</v>
          </cell>
        </row>
        <row r="236">
          <cell r="U236">
            <v>-1377.0571249899995</v>
          </cell>
        </row>
        <row r="242">
          <cell r="U242">
            <v>75968.49393380061</v>
          </cell>
        </row>
        <row r="244">
          <cell r="U244">
            <v>-1595.4185172641467</v>
          </cell>
        </row>
        <row r="246">
          <cell r="U246">
            <v>0.3431000000000495</v>
          </cell>
        </row>
        <row r="632">
          <cell r="N632">
            <v>9883.533</v>
          </cell>
        </row>
        <row r="650">
          <cell r="N650">
            <v>25801.526888826498</v>
          </cell>
        </row>
        <row r="673">
          <cell r="P673">
            <v>56637.673244278</v>
          </cell>
        </row>
        <row r="684">
          <cell r="P684">
            <v>60400.441999999995</v>
          </cell>
        </row>
        <row r="687">
          <cell r="P687">
            <v>7810.426492523</v>
          </cell>
        </row>
        <row r="691">
          <cell r="P691">
            <v>51034.251764347</v>
          </cell>
        </row>
        <row r="697">
          <cell r="P697">
            <v>2933.7653100000007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Chart1"/>
      <sheetName val="June07"/>
      <sheetName val="Treasury shares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6">
        <row r="38">
          <cell r="C38">
            <v>598512.8</v>
          </cell>
        </row>
        <row r="46">
          <cell r="C46">
            <v>12.367074995764774</v>
          </cell>
        </row>
        <row r="58">
          <cell r="C58">
            <v>10.547165109739275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PE"/>
      <sheetName val="prov tax &amp; def tax"/>
      <sheetName val="loan"/>
      <sheetName val="Defer exp"/>
      <sheetName val="assoco"/>
      <sheetName val="mi&amp;gw"/>
      <sheetName val="Sheet7"/>
      <sheetName val="summary"/>
      <sheetName val="cashflow"/>
      <sheetName val="LTI"/>
      <sheetName val="mktsec"/>
      <sheetName val="HP"/>
      <sheetName val="L&amp;d"/>
      <sheetName val="forex98PL"/>
      <sheetName val="dividend"/>
      <sheetName val="overdraft"/>
      <sheetName val="Disposal-FY07"/>
      <sheetName val="Deem disposal - MHSB"/>
      <sheetName val="Deem disposal - II"/>
      <sheetName val="InvProp&amp;Intangible"/>
      <sheetName val="Disposal2003"/>
      <sheetName val="bad&amp;doubtful debts"/>
      <sheetName val="cash flow (co)"/>
      <sheetName val="Acq in FY06"/>
      <sheetName val="Acq in FY07"/>
      <sheetName val="Acq&amp;strikeoff 2005 - MAF&amp;IWL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</sheetNames>
    <sheetDataSet>
      <sheetData sheetId="5">
        <row r="9">
          <cell r="D9">
            <v>53.738765381399986</v>
          </cell>
          <cell r="E9">
            <v>-92</v>
          </cell>
          <cell r="F9">
            <v>2372</v>
          </cell>
          <cell r="G9">
            <v>-3500.397</v>
          </cell>
          <cell r="H9">
            <v>17048.2007366</v>
          </cell>
          <cell r="I9">
            <v>-150</v>
          </cell>
          <cell r="J9">
            <v>-1210.7278484</v>
          </cell>
        </row>
        <row r="10">
          <cell r="F10">
            <v>216.20258470830007</v>
          </cell>
          <cell r="J10">
            <v>-2450</v>
          </cell>
        </row>
      </sheetData>
      <sheetData sheetId="8">
        <row r="8">
          <cell r="G8">
            <v>77348.17415087289</v>
          </cell>
        </row>
        <row r="31">
          <cell r="G31">
            <v>2933.7653100000007</v>
          </cell>
        </row>
        <row r="32">
          <cell r="G32">
            <v>-4238.644526671</v>
          </cell>
        </row>
        <row r="34">
          <cell r="I34">
            <v>-32980.48184336149</v>
          </cell>
        </row>
        <row r="38">
          <cell r="G38">
            <v>-138</v>
          </cell>
        </row>
        <row r="39">
          <cell r="G39">
            <v>783.2357641129984</v>
          </cell>
        </row>
        <row r="40">
          <cell r="G40">
            <v>-22963</v>
          </cell>
        </row>
        <row r="41">
          <cell r="G41">
            <v>-12163.72030447111</v>
          </cell>
        </row>
        <row r="42">
          <cell r="G42">
            <v>-162977.32333409847</v>
          </cell>
        </row>
        <row r="43">
          <cell r="G43">
            <v>-4229</v>
          </cell>
        </row>
        <row r="44">
          <cell r="G44">
            <v>107271.900072962</v>
          </cell>
        </row>
        <row r="45">
          <cell r="G45">
            <v>4002</v>
          </cell>
        </row>
        <row r="49">
          <cell r="G49">
            <v>4238.644526671</v>
          </cell>
        </row>
        <row r="50">
          <cell r="G50">
            <v>-11234.76531</v>
          </cell>
        </row>
        <row r="51">
          <cell r="G51">
            <v>-310.84870770299966</v>
          </cell>
        </row>
        <row r="57">
          <cell r="G57">
            <v>-16864.388585703997</v>
          </cell>
        </row>
        <row r="58">
          <cell r="G58">
            <v>2927.6679246150006</v>
          </cell>
        </row>
        <row r="59">
          <cell r="G59">
            <v>3000</v>
          </cell>
        </row>
        <row r="60">
          <cell r="G60">
            <v>-500</v>
          </cell>
        </row>
        <row r="61">
          <cell r="G61">
            <v>-150.96018999999998</v>
          </cell>
        </row>
        <row r="62">
          <cell r="G62">
            <v>41317.14393</v>
          </cell>
        </row>
        <row r="63">
          <cell r="G63">
            <v>8220.49965051</v>
          </cell>
        </row>
        <row r="64">
          <cell r="G64">
            <v>-6606.513999999999</v>
          </cell>
        </row>
        <row r="65">
          <cell r="G65">
            <v>2336.69869</v>
          </cell>
        </row>
        <row r="66">
          <cell r="G66">
            <v>504.84303</v>
          </cell>
        </row>
        <row r="67">
          <cell r="G67">
            <v>-17542.791</v>
          </cell>
        </row>
        <row r="73">
          <cell r="G73">
            <v>-26684.421369999996</v>
          </cell>
        </row>
        <row r="74">
          <cell r="G74">
            <v>2194.8471498000017</v>
          </cell>
        </row>
        <row r="75">
          <cell r="G75">
            <v>-1920.4464589999998</v>
          </cell>
        </row>
        <row r="76">
          <cell r="G76">
            <v>3500</v>
          </cell>
        </row>
        <row r="77">
          <cell r="G77">
            <v>-4551.03925915</v>
          </cell>
        </row>
        <row r="78">
          <cell r="G78">
            <v>-3226</v>
          </cell>
        </row>
        <row r="79">
          <cell r="G79">
            <v>-2588.2025847083</v>
          </cell>
        </row>
        <row r="80">
          <cell r="G80">
            <v>3500.397</v>
          </cell>
        </row>
        <row r="81">
          <cell r="G81">
            <v>150</v>
          </cell>
        </row>
        <row r="82">
          <cell r="G82">
            <v>2450</v>
          </cell>
        </row>
        <row r="89">
          <cell r="G89">
            <v>-460.97028205000083</v>
          </cell>
        </row>
        <row r="91">
          <cell r="G91">
            <v>112236</v>
          </cell>
        </row>
        <row r="96">
          <cell r="G96">
            <v>16803.154283087002</v>
          </cell>
        </row>
        <row r="97">
          <cell r="G97">
            <v>42688.53188373402</v>
          </cell>
        </row>
        <row r="98">
          <cell r="G98">
            <v>-12907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ex2003"/>
      <sheetName val="forex2006"/>
      <sheetName val="forex2004"/>
      <sheetName val="forex 2005"/>
      <sheetName val="forex2002"/>
      <sheetName val="forex2000"/>
      <sheetName val="forex99"/>
      <sheetName val="main2"/>
      <sheetName val="interco"/>
      <sheetName val="QUERIES"/>
      <sheetName val="fixasset"/>
    </sheetNames>
    <sheetDataSet>
      <sheetData sheetId="1">
        <row r="52">
          <cell r="I52">
            <v>804287.232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MS trades"/>
      <sheetName val="Sheet3"/>
    </sheetNames>
    <sheetDataSet>
      <sheetData sheetId="1">
        <row r="15">
          <cell r="H15">
            <v>12640.830589999998</v>
          </cell>
          <cell r="N15">
            <v>616.65578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orex2003"/>
      <sheetName val="forex2006"/>
      <sheetName val="forex2007"/>
      <sheetName val="forex2004"/>
      <sheetName val="forex 2005"/>
      <sheetName val="forex2002"/>
      <sheetName val="forex2000"/>
      <sheetName val="forex99"/>
      <sheetName val="main2"/>
      <sheetName val="interco"/>
      <sheetName val="QUERIES"/>
      <sheetName val="fixasset"/>
    </sheetNames>
    <sheetDataSet>
      <sheetData sheetId="2">
        <row r="51">
          <cell r="I51">
            <v>-911688.7852799998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="75" zoomScaleNormal="75" workbookViewId="0" topLeftCell="A33">
      <selection activeCell="J33" sqref="J33"/>
    </sheetView>
  </sheetViews>
  <sheetFormatPr defaultColWidth="9.140625" defaultRowHeight="12.75"/>
  <cols>
    <col min="1" max="1" width="6.7109375" style="0" customWidth="1"/>
    <col min="2" max="2" width="10.7109375" style="0" customWidth="1"/>
    <col min="6" max="6" width="5.7109375" style="0" customWidth="1"/>
    <col min="7" max="7" width="16.7109375" style="0" customWidth="1"/>
    <col min="9" max="9" width="21.7109375" style="0" customWidth="1"/>
    <col min="10" max="10" width="12.7109375" style="0" customWidth="1"/>
  </cols>
  <sheetData>
    <row r="1" spans="1:10" ht="15.7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0"/>
    </row>
    <row r="2" spans="1:10" ht="12.75">
      <c r="A2" s="123" t="s">
        <v>25</v>
      </c>
      <c r="B2" s="123"/>
      <c r="C2" s="123"/>
      <c r="D2" s="123"/>
      <c r="E2" s="123"/>
      <c r="F2" s="123"/>
      <c r="G2" s="123"/>
      <c r="H2" s="123"/>
      <c r="I2" s="123"/>
      <c r="J2" s="120"/>
    </row>
    <row r="3" spans="1:10" ht="12.75">
      <c r="A3" s="123" t="s">
        <v>26</v>
      </c>
      <c r="B3" s="123"/>
      <c r="C3" s="123"/>
      <c r="D3" s="123"/>
      <c r="E3" s="123"/>
      <c r="F3" s="123"/>
      <c r="G3" s="123"/>
      <c r="H3" s="123"/>
      <c r="I3" s="123"/>
      <c r="J3" s="28"/>
    </row>
    <row r="4" spans="1:10" ht="12.75">
      <c r="A4" s="39"/>
      <c r="B4" s="39"/>
      <c r="C4" s="39"/>
      <c r="D4" s="39"/>
      <c r="E4" s="39"/>
      <c r="F4" s="39"/>
      <c r="G4" s="39"/>
      <c r="H4" s="39"/>
      <c r="I4" s="39"/>
      <c r="J4" s="112"/>
    </row>
    <row r="5" spans="1:10" ht="13.5" thickBot="1">
      <c r="A5" s="59" t="s">
        <v>175</v>
      </c>
      <c r="B5" s="40"/>
      <c r="C5" s="40"/>
      <c r="D5" s="40"/>
      <c r="E5" s="40"/>
      <c r="F5" s="40"/>
      <c r="G5" s="40"/>
      <c r="H5" s="40"/>
      <c r="I5" s="40"/>
      <c r="J5" s="112"/>
    </row>
    <row r="6" spans="1:10" ht="15.75">
      <c r="A6" s="32"/>
      <c r="B6" s="30"/>
      <c r="C6" s="27"/>
      <c r="D6" s="28"/>
      <c r="E6" s="28"/>
      <c r="F6" s="28"/>
      <c r="G6" s="31"/>
      <c r="H6" s="31"/>
      <c r="I6" s="31"/>
      <c r="J6" s="112"/>
    </row>
    <row r="7" spans="1:10" ht="15.75">
      <c r="A7" s="38" t="s">
        <v>33</v>
      </c>
      <c r="B7" s="30"/>
      <c r="C7" s="27"/>
      <c r="D7" s="28"/>
      <c r="E7" s="28"/>
      <c r="F7" s="28"/>
      <c r="G7" s="31"/>
      <c r="H7" s="31"/>
      <c r="I7" s="31"/>
      <c r="J7" s="112"/>
    </row>
    <row r="8" spans="1:9" ht="12.75">
      <c r="A8" s="6"/>
      <c r="B8" s="7"/>
      <c r="C8" s="8"/>
      <c r="D8" s="9"/>
      <c r="E8" s="9"/>
      <c r="F8" s="9"/>
      <c r="G8" s="23"/>
      <c r="H8" s="10"/>
      <c r="I8" s="23"/>
    </row>
    <row r="9" spans="1:9" ht="12.75">
      <c r="A9" s="9"/>
      <c r="B9" s="8"/>
      <c r="C9" s="8"/>
      <c r="D9" s="9"/>
      <c r="E9" s="9"/>
      <c r="F9" s="9"/>
      <c r="G9" s="23"/>
      <c r="H9" s="10"/>
      <c r="I9" s="23" t="s">
        <v>13</v>
      </c>
    </row>
    <row r="10" spans="1:9" ht="12.75">
      <c r="A10" s="9"/>
      <c r="B10" s="8"/>
      <c r="C10" s="8"/>
      <c r="D10" s="9"/>
      <c r="E10" s="9"/>
      <c r="F10" s="9"/>
      <c r="G10" s="23" t="s">
        <v>12</v>
      </c>
      <c r="H10" s="10"/>
      <c r="I10" s="73" t="s">
        <v>71</v>
      </c>
    </row>
    <row r="11" spans="1:9" ht="12.75">
      <c r="A11" s="9"/>
      <c r="B11" s="8"/>
      <c r="C11" s="8"/>
      <c r="D11" s="9"/>
      <c r="E11" s="9"/>
      <c r="F11" s="9"/>
      <c r="G11" s="72" t="s">
        <v>176</v>
      </c>
      <c r="H11" s="2"/>
      <c r="I11" s="70" t="s">
        <v>88</v>
      </c>
    </row>
    <row r="12" spans="1:9" ht="12.75">
      <c r="A12" s="9"/>
      <c r="B12" s="8"/>
      <c r="C12" s="8"/>
      <c r="D12" s="9"/>
      <c r="E12" s="9"/>
      <c r="F12" s="9"/>
      <c r="G12" s="72"/>
      <c r="H12" s="2"/>
      <c r="I12" s="70" t="s">
        <v>72</v>
      </c>
    </row>
    <row r="13" spans="1:9" ht="12.75">
      <c r="A13" s="9"/>
      <c r="B13" s="8"/>
      <c r="C13" s="8"/>
      <c r="D13" s="9"/>
      <c r="E13" s="9"/>
      <c r="F13" s="9"/>
      <c r="G13" s="33" t="s">
        <v>1</v>
      </c>
      <c r="H13" s="33"/>
      <c r="I13" s="33" t="s">
        <v>8</v>
      </c>
    </row>
    <row r="14" spans="1:6" ht="12.75">
      <c r="A14" s="4" t="s">
        <v>89</v>
      </c>
      <c r="B14" s="8"/>
      <c r="C14" s="8"/>
      <c r="D14" s="9"/>
      <c r="E14" s="9"/>
      <c r="F14" s="9"/>
    </row>
    <row r="15" spans="1:9" ht="12.75">
      <c r="A15" s="4" t="s">
        <v>90</v>
      </c>
      <c r="B15" s="8"/>
      <c r="C15" s="8"/>
      <c r="D15" s="9"/>
      <c r="E15" s="9"/>
      <c r="F15" s="9"/>
      <c r="G15" s="10"/>
      <c r="H15" s="10"/>
      <c r="I15" s="10"/>
    </row>
    <row r="16" spans="1:9" ht="12.75">
      <c r="A16" s="25"/>
      <c r="B16" s="26" t="s">
        <v>145</v>
      </c>
      <c r="C16" s="28"/>
      <c r="D16" s="28"/>
      <c r="E16" s="9"/>
      <c r="F16" s="9"/>
      <c r="G16" s="10">
        <f>'[2]M-GER95A.XLS'!$U$10</f>
        <v>25417.426320560997</v>
      </c>
      <c r="H16" s="10"/>
      <c r="I16" s="10">
        <f>70561-17794</f>
        <v>52767</v>
      </c>
    </row>
    <row r="17" spans="1:9" ht="12.75">
      <c r="A17" s="25"/>
      <c r="B17" s="26" t="s">
        <v>146</v>
      </c>
      <c r="C17" s="27"/>
      <c r="D17" s="28"/>
      <c r="E17" s="9"/>
      <c r="F17" s="9"/>
      <c r="G17" s="10">
        <f>'[2]M-GER95A.XLS'!$U$24</f>
        <v>69306.20999999999</v>
      </c>
      <c r="H17" s="10"/>
      <c r="I17" s="10">
        <f>18337+17794</f>
        <v>36131</v>
      </c>
    </row>
    <row r="18" spans="1:9" ht="12.75">
      <c r="A18" s="25"/>
      <c r="B18" s="26" t="s">
        <v>147</v>
      </c>
      <c r="C18" s="27"/>
      <c r="D18" s="28"/>
      <c r="E18" s="9"/>
      <c r="F18" s="9"/>
      <c r="G18" s="10">
        <f>'[2]M-GER95A.XLS'!$U$22</f>
        <v>37718</v>
      </c>
      <c r="H18" s="10"/>
      <c r="I18" s="10">
        <v>37576</v>
      </c>
    </row>
    <row r="19" spans="1:9" ht="12.75">
      <c r="A19" s="25"/>
      <c r="B19" s="26" t="s">
        <v>148</v>
      </c>
      <c r="C19" s="27"/>
      <c r="D19" s="28"/>
      <c r="E19" s="9"/>
      <c r="F19" s="9"/>
      <c r="G19" s="10">
        <f>'[2]M-GER95A.XLS'!$U$18</f>
        <v>69159.63154</v>
      </c>
      <c r="H19" s="10"/>
      <c r="I19" s="10">
        <v>94079</v>
      </c>
    </row>
    <row r="20" spans="1:9" ht="12.75">
      <c r="A20" s="25"/>
      <c r="B20" s="26" t="s">
        <v>149</v>
      </c>
      <c r="C20" s="28"/>
      <c r="D20" s="28"/>
      <c r="E20" s="9"/>
      <c r="F20" s="9"/>
      <c r="G20" s="10">
        <f>'[2]M-GER95A.XLS'!$U$15</f>
        <v>35048.66948833113</v>
      </c>
      <c r="H20" s="10"/>
      <c r="I20" s="10">
        <v>16738</v>
      </c>
    </row>
    <row r="21" spans="1:9" ht="12.75">
      <c r="A21" s="25"/>
      <c r="B21" s="26" t="s">
        <v>150</v>
      </c>
      <c r="C21" s="27"/>
      <c r="D21" s="28"/>
      <c r="E21" s="9"/>
      <c r="F21" s="9"/>
      <c r="G21" s="10">
        <f>'[2]M-GER95A.XLS'!$U$20+'[2]M-GER95A.XLS'!$U$77+'[2]M-GER95A.XLS'!$U$26</f>
        <v>26210.882473778503</v>
      </c>
      <c r="H21" s="10"/>
      <c r="I21" s="10">
        <f>26047+210+3095</f>
        <v>29352</v>
      </c>
    </row>
    <row r="22" spans="1:9" ht="12.75">
      <c r="A22" s="25"/>
      <c r="B22" s="26" t="s">
        <v>151</v>
      </c>
      <c r="C22" s="27"/>
      <c r="D22" s="28"/>
      <c r="E22" s="9"/>
      <c r="F22" s="9"/>
      <c r="G22" s="10">
        <f>'[2]M-GER95A.XLS'!$U$29</f>
        <v>4516.754463</v>
      </c>
      <c r="H22" s="10"/>
      <c r="I22" s="10">
        <v>8968</v>
      </c>
    </row>
    <row r="23" spans="1:9" ht="12.75">
      <c r="A23" s="25"/>
      <c r="B23" s="28"/>
      <c r="C23" s="27"/>
      <c r="D23" s="28"/>
      <c r="E23" s="9"/>
      <c r="F23" s="9"/>
      <c r="G23" s="13">
        <f>SUM(G16:G22)</f>
        <v>267377.57428567065</v>
      </c>
      <c r="H23" s="10"/>
      <c r="I23" s="13">
        <f>SUM(I16:I22)</f>
        <v>275611</v>
      </c>
    </row>
    <row r="24" spans="1:9" ht="12.75">
      <c r="A24" s="25"/>
      <c r="B24" s="28"/>
      <c r="C24" s="27"/>
      <c r="D24" s="28"/>
      <c r="E24" s="9"/>
      <c r="F24" s="9"/>
      <c r="G24" s="10"/>
      <c r="H24" s="10"/>
      <c r="I24" s="10"/>
    </row>
    <row r="25" spans="1:9" ht="12.75">
      <c r="A25" s="42" t="s">
        <v>2</v>
      </c>
      <c r="B25" s="43"/>
      <c r="C25" s="42"/>
      <c r="D25" s="9"/>
      <c r="E25" s="9"/>
      <c r="F25" s="9"/>
      <c r="G25" s="10"/>
      <c r="H25" s="10"/>
      <c r="I25" s="10"/>
    </row>
    <row r="26" spans="1:9" ht="12.75">
      <c r="A26" s="42"/>
      <c r="B26" s="28" t="s">
        <v>223</v>
      </c>
      <c r="C26" s="42"/>
      <c r="D26" s="9"/>
      <c r="E26" s="9"/>
      <c r="F26" s="9"/>
      <c r="G26" s="10">
        <f>'[2]M-GER95A.XLS'!$U$37</f>
        <v>29571.899404471107</v>
      </c>
      <c r="H26" s="10"/>
      <c r="I26" s="10">
        <f>12415+4994</f>
        <v>17409</v>
      </c>
    </row>
    <row r="27" spans="1:9" ht="12.75">
      <c r="A27" s="42"/>
      <c r="B27" s="25" t="s">
        <v>10</v>
      </c>
      <c r="C27" s="25"/>
      <c r="D27" s="9"/>
      <c r="E27" s="9"/>
      <c r="F27" s="9"/>
      <c r="G27" s="11">
        <f>'[2]M-GER95A.XLS'!$U$51</f>
        <v>16408.627962815</v>
      </c>
      <c r="H27" s="11"/>
      <c r="I27" s="11">
        <v>31698</v>
      </c>
    </row>
    <row r="28" spans="1:9" ht="12.75">
      <c r="A28" s="42"/>
      <c r="B28" s="25" t="s">
        <v>112</v>
      </c>
      <c r="C28" s="26"/>
      <c r="D28" s="9"/>
      <c r="E28" s="9"/>
      <c r="F28" s="9"/>
      <c r="G28" s="11">
        <f>'[2]M-GER95A.XLS'!$U$32+'[2]M-GER95A.XLS'!$U$34*0</f>
        <v>418969.515482952</v>
      </c>
      <c r="H28" s="11"/>
      <c r="I28" s="11">
        <f>269657</f>
        <v>269657</v>
      </c>
    </row>
    <row r="29" spans="1:9" ht="12.75">
      <c r="A29" s="42"/>
      <c r="B29" s="26" t="s">
        <v>177</v>
      </c>
      <c r="C29" s="26"/>
      <c r="D29" s="9"/>
      <c r="E29" s="9"/>
      <c r="F29" s="9"/>
      <c r="G29" s="11">
        <f>'[2]M-GER95A.XLS'!$U$33</f>
        <v>4229</v>
      </c>
      <c r="H29" s="11"/>
      <c r="I29" s="75">
        <v>0</v>
      </c>
    </row>
    <row r="30" spans="1:9" ht="12.75">
      <c r="A30" s="42"/>
      <c r="B30" s="26" t="s">
        <v>113</v>
      </c>
      <c r="C30" s="26"/>
      <c r="D30" s="9"/>
      <c r="E30" s="9"/>
      <c r="F30" s="9"/>
      <c r="G30" s="11">
        <f>'[2]M-GER95A.XLS'!$U$32*0+'[2]M-GER95A.XLS'!$U$34</f>
        <v>35550.58954266883</v>
      </c>
      <c r="H30" s="11"/>
      <c r="I30" s="11">
        <v>22431</v>
      </c>
    </row>
    <row r="31" spans="1:9" ht="12.75">
      <c r="A31" s="42"/>
      <c r="B31" s="26" t="s">
        <v>78</v>
      </c>
      <c r="C31" s="26"/>
      <c r="D31" s="9"/>
      <c r="E31" s="9"/>
      <c r="F31" s="9"/>
      <c r="G31" s="11">
        <f>'[2]M-GER95A.XLS'!$U$38</f>
        <v>12938.68582</v>
      </c>
      <c r="H31" s="11"/>
      <c r="I31" s="11">
        <v>9600</v>
      </c>
    </row>
    <row r="32" spans="1:9" ht="12.75">
      <c r="A32" s="42"/>
      <c r="B32" s="26" t="s">
        <v>14</v>
      </c>
      <c r="C32" s="26"/>
      <c r="D32" s="9"/>
      <c r="E32" s="9"/>
      <c r="F32" s="9"/>
      <c r="G32" s="11">
        <f>'[2]M-GER95A.XLS'!$U$31</f>
        <v>67020.9051</v>
      </c>
      <c r="H32" s="11"/>
      <c r="I32" s="11">
        <v>34176</v>
      </c>
    </row>
    <row r="33" spans="1:9" ht="12.75">
      <c r="A33" s="42"/>
      <c r="B33" s="26" t="s">
        <v>15</v>
      </c>
      <c r="C33" s="26"/>
      <c r="D33" s="9"/>
      <c r="E33" s="9"/>
      <c r="F33" s="9"/>
      <c r="G33" s="11"/>
      <c r="H33" s="11"/>
      <c r="I33" s="11"/>
    </row>
    <row r="34" spans="1:9" ht="12.75">
      <c r="A34" s="42"/>
      <c r="B34" s="26" t="s">
        <v>16</v>
      </c>
      <c r="C34" s="26"/>
      <c r="D34" s="9"/>
      <c r="E34" s="9"/>
      <c r="F34" s="9"/>
      <c r="G34" s="11">
        <f>'[2]M-GER95A.XLS'!$U$52+'[2]M-GER95A.XLS'!$U$53</f>
        <v>195561.510611434</v>
      </c>
      <c r="H34" s="11"/>
      <c r="I34" s="11">
        <v>239244</v>
      </c>
    </row>
    <row r="35" spans="1:9" ht="12.75">
      <c r="A35" s="42"/>
      <c r="B35" s="26" t="s">
        <v>17</v>
      </c>
      <c r="C35" s="26"/>
      <c r="D35" s="9"/>
      <c r="E35" s="9"/>
      <c r="F35" s="9"/>
      <c r="G35" s="11">
        <f>'[2]M-GER95A.XLS'!$U$54</f>
        <v>32448.272283087</v>
      </c>
      <c r="H35" s="11"/>
      <c r="I35" s="11">
        <v>18857</v>
      </c>
    </row>
    <row r="36" spans="1:9" ht="12.75">
      <c r="A36" s="42"/>
      <c r="B36" s="43"/>
      <c r="C36" s="27"/>
      <c r="D36" s="9"/>
      <c r="E36" s="9"/>
      <c r="F36" s="9"/>
      <c r="G36" s="13">
        <f>SUM(G26:G35)+1</f>
        <v>812700.0062074279</v>
      </c>
      <c r="I36" s="13">
        <f>SUM(I26:I35)</f>
        <v>643072</v>
      </c>
    </row>
    <row r="37" spans="1:9" ht="12.75">
      <c r="A37" s="42"/>
      <c r="B37" s="43"/>
      <c r="C37" s="27"/>
      <c r="D37" s="9"/>
      <c r="E37" s="9"/>
      <c r="F37" s="9"/>
      <c r="G37" s="11"/>
      <c r="I37" s="11"/>
    </row>
    <row r="38" spans="1:9" ht="13.5" thickBot="1">
      <c r="A38" s="42" t="s">
        <v>91</v>
      </c>
      <c r="B38" s="43"/>
      <c r="C38" s="27"/>
      <c r="D38" s="9"/>
      <c r="E38" s="9"/>
      <c r="F38" s="9"/>
      <c r="G38" s="100">
        <f>G36+G23</f>
        <v>1080077.5804930986</v>
      </c>
      <c r="I38" s="100">
        <f>I36+I23</f>
        <v>918683</v>
      </c>
    </row>
    <row r="39" spans="1:9" ht="13.5" thickTop="1">
      <c r="A39" s="42"/>
      <c r="B39" s="43"/>
      <c r="C39" s="27"/>
      <c r="D39" s="9"/>
      <c r="E39" s="9"/>
      <c r="F39" s="9"/>
      <c r="G39" s="11"/>
      <c r="I39" s="11"/>
    </row>
    <row r="40" spans="1:9" ht="12.75">
      <c r="A40" s="42"/>
      <c r="B40" s="43"/>
      <c r="C40" s="27"/>
      <c r="D40" s="9"/>
      <c r="E40" s="9"/>
      <c r="F40" s="9"/>
      <c r="G40" s="11"/>
      <c r="I40" s="11"/>
    </row>
    <row r="41" spans="1:9" ht="12.75">
      <c r="A41" s="42" t="s">
        <v>92</v>
      </c>
      <c r="B41" s="43"/>
      <c r="C41" s="27"/>
      <c r="D41" s="9"/>
      <c r="E41" s="9"/>
      <c r="F41" s="9"/>
      <c r="G41" s="11"/>
      <c r="H41" s="11"/>
      <c r="I41" s="11"/>
    </row>
    <row r="42" spans="1:9" ht="12.75">
      <c r="A42" s="44" t="s">
        <v>227</v>
      </c>
      <c r="B42" s="43"/>
      <c r="C42" s="27"/>
      <c r="D42" s="9"/>
      <c r="E42" s="9"/>
      <c r="F42" s="9"/>
      <c r="G42" s="11"/>
      <c r="H42" s="11"/>
      <c r="I42" s="11"/>
    </row>
    <row r="43" spans="1:9" ht="12.75">
      <c r="A43" s="25"/>
      <c r="B43" s="26" t="s">
        <v>152</v>
      </c>
      <c r="C43" s="43"/>
      <c r="D43" s="9"/>
      <c r="E43" s="9"/>
      <c r="F43" s="9"/>
      <c r="G43" s="10">
        <f>'[2]M-GER95A.XLS'!$U$82</f>
        <v>618966.2163726198</v>
      </c>
      <c r="I43" s="10">
        <v>618966</v>
      </c>
    </row>
    <row r="44" spans="1:9" ht="12.75">
      <c r="A44" s="25"/>
      <c r="B44" s="26" t="s">
        <v>153</v>
      </c>
      <c r="C44" s="43"/>
      <c r="D44" s="9"/>
      <c r="E44" s="9"/>
      <c r="F44" s="9"/>
      <c r="G44" s="10">
        <f>'[2]M-GER95A.XLS'!$U$86+'[2]M-GER95A.XLS'!$U$89+'[2]M-GER95A.XLS'!$U$90+'[2]M-GER95A.XLS'!$U$91</f>
        <v>67514.39958284175</v>
      </c>
      <c r="I44" s="10">
        <v>70718</v>
      </c>
    </row>
    <row r="45" spans="1:9" ht="12.75">
      <c r="A45" s="25"/>
      <c r="B45" s="26" t="s">
        <v>154</v>
      </c>
      <c r="C45" s="43"/>
      <c r="D45" s="9"/>
      <c r="E45" s="9"/>
      <c r="F45" s="9"/>
      <c r="G45" s="10"/>
      <c r="I45" s="10"/>
    </row>
    <row r="46" spans="1:9" ht="12.75">
      <c r="A46" s="25"/>
      <c r="B46" s="26" t="s">
        <v>155</v>
      </c>
      <c r="C46" s="43"/>
      <c r="D46" s="9"/>
      <c r="E46" s="9"/>
      <c r="F46" s="9"/>
      <c r="G46" s="10">
        <f>'[2]M-GER95A.XLS'!$U$117</f>
        <v>103768</v>
      </c>
      <c r="I46" s="10">
        <v>103768</v>
      </c>
    </row>
    <row r="47" spans="1:9" ht="12.75">
      <c r="A47" s="25"/>
      <c r="B47" s="26" t="s">
        <v>156</v>
      </c>
      <c r="C47" s="4"/>
      <c r="D47" s="9"/>
      <c r="E47" s="9"/>
      <c r="F47" s="9"/>
      <c r="G47" s="97">
        <f>'[2]M-GER95A.XLS'!$U$106-2</f>
        <v>-46631.958391381246</v>
      </c>
      <c r="I47" s="97">
        <v>-112705</v>
      </c>
    </row>
    <row r="48" spans="1:9" ht="12.75">
      <c r="A48" s="25"/>
      <c r="B48" s="28"/>
      <c r="C48" s="43"/>
      <c r="D48" s="9"/>
      <c r="E48" s="9"/>
      <c r="F48" s="9"/>
      <c r="G48" s="46">
        <f>SUM(G43:G47)-1</f>
        <v>743615.6575640804</v>
      </c>
      <c r="I48" s="46">
        <f>SUM(I43:I47)</f>
        <v>680747</v>
      </c>
    </row>
    <row r="49" spans="1:9" ht="12.75">
      <c r="A49" s="14" t="s">
        <v>5</v>
      </c>
      <c r="B49" s="28"/>
      <c r="C49" s="43"/>
      <c r="D49" s="9"/>
      <c r="E49" s="9"/>
      <c r="F49" s="9"/>
      <c r="G49" s="10">
        <f>'[2]M-GER95A.XLS'!$U$108-'[2]M-GER95A.XLS'!$U$50</f>
        <v>12107.070647465918</v>
      </c>
      <c r="I49" s="10">
        <v>22798</v>
      </c>
    </row>
    <row r="50" spans="1:9" ht="12.75">
      <c r="A50" s="60" t="s">
        <v>93</v>
      </c>
      <c r="B50" s="28"/>
      <c r="C50" s="43"/>
      <c r="D50" s="9"/>
      <c r="E50" s="9"/>
      <c r="F50" s="9"/>
      <c r="G50" s="13">
        <f>G48+G49</f>
        <v>755722.7282115463</v>
      </c>
      <c r="I50" s="13">
        <f>I48+I49</f>
        <v>703545</v>
      </c>
    </row>
    <row r="51" spans="1:9" ht="12.75">
      <c r="A51" s="102"/>
      <c r="B51" s="28"/>
      <c r="C51" s="43"/>
      <c r="D51" s="9"/>
      <c r="E51" s="9"/>
      <c r="F51" s="9"/>
      <c r="G51" s="11"/>
      <c r="I51" s="11"/>
    </row>
    <row r="52" spans="1:9" ht="12.75">
      <c r="A52" s="14" t="s">
        <v>94</v>
      </c>
      <c r="B52" s="28"/>
      <c r="C52" s="43"/>
      <c r="D52" s="9"/>
      <c r="E52" s="9"/>
      <c r="F52" s="9"/>
      <c r="G52" s="11"/>
      <c r="I52" s="11"/>
    </row>
    <row r="53" spans="1:9" ht="12.75">
      <c r="A53" s="101"/>
      <c r="B53" s="119" t="s">
        <v>157</v>
      </c>
      <c r="C53" s="28"/>
      <c r="D53" s="28"/>
      <c r="E53" s="28"/>
      <c r="F53" s="28"/>
      <c r="G53" s="31">
        <f>'[2]M-GER95A.XLS'!$U$118</f>
        <v>5530</v>
      </c>
      <c r="H53" s="28"/>
      <c r="I53" s="31">
        <v>3777</v>
      </c>
    </row>
    <row r="54" spans="1:9" ht="12.75">
      <c r="A54" s="101"/>
      <c r="B54" s="119" t="s">
        <v>164</v>
      </c>
      <c r="C54" s="28"/>
      <c r="D54" s="28"/>
      <c r="E54" s="28"/>
      <c r="F54" s="28"/>
      <c r="G54" s="31">
        <f>'[2]M-GER95A.XLS'!$U$116</f>
        <v>3279</v>
      </c>
      <c r="H54" s="28"/>
      <c r="I54" s="31">
        <v>0</v>
      </c>
    </row>
    <row r="55" spans="1:9" ht="12.75">
      <c r="A55" s="101"/>
      <c r="B55" s="119" t="s">
        <v>158</v>
      </c>
      <c r="C55" s="43"/>
      <c r="D55" s="9"/>
      <c r="E55" s="9"/>
      <c r="F55" s="9"/>
      <c r="G55" s="10">
        <f>'[2]M-GER95A.XLS'!$U$115</f>
        <v>346.9077063579999</v>
      </c>
      <c r="I55" s="10">
        <v>470</v>
      </c>
    </row>
    <row r="56" spans="1:9" ht="12.75">
      <c r="A56" s="43"/>
      <c r="B56" s="43"/>
      <c r="C56" s="43"/>
      <c r="D56" s="9"/>
      <c r="E56" s="9"/>
      <c r="F56" s="9"/>
      <c r="G56" s="13">
        <f>G55+G53+G54</f>
        <v>9155.907706358</v>
      </c>
      <c r="I56" s="13">
        <f>I55+I53</f>
        <v>4247</v>
      </c>
    </row>
    <row r="58" spans="1:9" ht="12.75">
      <c r="A58" s="42" t="s">
        <v>4</v>
      </c>
      <c r="B58" s="43"/>
      <c r="C58" s="27"/>
      <c r="D58" s="9"/>
      <c r="E58" s="9"/>
      <c r="F58" s="9"/>
      <c r="G58" s="11"/>
      <c r="H58" s="11"/>
      <c r="I58" s="11"/>
    </row>
    <row r="59" spans="1:9" ht="12.75">
      <c r="A59" s="42"/>
      <c r="B59" s="25" t="s">
        <v>114</v>
      </c>
      <c r="C59" s="26"/>
      <c r="D59" s="9"/>
      <c r="E59" s="9"/>
      <c r="F59" s="9"/>
      <c r="G59" s="11">
        <f>SUM('[2]M-GER95A.XLS'!$U$59)</f>
        <v>262327.335507097</v>
      </c>
      <c r="H59" s="11"/>
      <c r="I59" s="11">
        <f>171258</f>
        <v>171258</v>
      </c>
    </row>
    <row r="60" spans="1:9" ht="12.75">
      <c r="A60" s="42"/>
      <c r="B60" s="26" t="s">
        <v>178</v>
      </c>
      <c r="C60" s="26"/>
      <c r="D60" s="9"/>
      <c r="E60" s="9"/>
      <c r="F60" s="9"/>
      <c r="G60" s="11">
        <f>'[2]M-GER95A.XLS'!$U$60</f>
        <v>4002</v>
      </c>
      <c r="H60" s="11"/>
      <c r="I60" s="75">
        <v>0</v>
      </c>
    </row>
    <row r="61" spans="1:9" ht="12.75">
      <c r="A61" s="42"/>
      <c r="B61" s="26" t="s">
        <v>118</v>
      </c>
      <c r="C61" s="26"/>
      <c r="D61" s="9"/>
      <c r="E61" s="9"/>
      <c r="F61" s="9"/>
      <c r="G61" s="1">
        <f>'[2]M-GER95A.XLS'!$U$61+'[2]M-GER95A.XLS'!$U$62</f>
        <v>32317.279988365</v>
      </c>
      <c r="H61" s="11"/>
      <c r="I61" s="11">
        <v>27077</v>
      </c>
    </row>
    <row r="62" spans="1:9" ht="12.75">
      <c r="A62" s="42"/>
      <c r="B62" s="26" t="s">
        <v>18</v>
      </c>
      <c r="C62" s="26"/>
      <c r="D62" s="9"/>
      <c r="E62" s="9"/>
      <c r="F62" s="9"/>
      <c r="G62" s="11">
        <f>'[2]M-GER95A.XLS'!$U$69+'[2]M-GER95A.XLS'!$U$71+'[2]M-GER95A.XLS'!$U$114*0</f>
        <v>16166.5276</v>
      </c>
      <c r="H62" s="11"/>
      <c r="I62" s="11">
        <v>11864</v>
      </c>
    </row>
    <row r="63" spans="1:9" ht="12.75">
      <c r="A63" s="42"/>
      <c r="B63" s="25" t="s">
        <v>79</v>
      </c>
      <c r="C63" s="27"/>
      <c r="D63" s="9"/>
      <c r="E63" s="9"/>
      <c r="F63" s="9"/>
      <c r="G63" s="11">
        <f>'[2]M-GER95A.XLS'!$U$66</f>
        <v>386.04789246400003</v>
      </c>
      <c r="H63" s="11"/>
      <c r="I63" s="11">
        <v>692</v>
      </c>
    </row>
    <row r="64" spans="1:9" ht="12.75">
      <c r="A64" s="42"/>
      <c r="B64" s="43"/>
      <c r="C64" s="38"/>
      <c r="D64" s="9"/>
      <c r="E64" s="9"/>
      <c r="F64" s="9"/>
      <c r="G64" s="13">
        <f>SUM(G59:G63)</f>
        <v>315199.190987926</v>
      </c>
      <c r="I64" s="13">
        <f>SUM(I59:I63)</f>
        <v>210891</v>
      </c>
    </row>
    <row r="65" spans="1:9" ht="12.75">
      <c r="A65" s="42"/>
      <c r="B65" s="43"/>
      <c r="C65" s="38"/>
      <c r="D65" s="9"/>
      <c r="E65" s="9"/>
      <c r="F65" s="9"/>
      <c r="G65" s="11"/>
      <c r="I65" s="11"/>
    </row>
    <row r="66" spans="1:9" ht="12.75">
      <c r="A66" s="44" t="s">
        <v>95</v>
      </c>
      <c r="B66" s="43"/>
      <c r="C66" s="38"/>
      <c r="D66" s="9"/>
      <c r="E66" s="9"/>
      <c r="F66" s="9"/>
      <c r="G66" s="11">
        <f>G64+G56</f>
        <v>324355.098694284</v>
      </c>
      <c r="I66" s="11">
        <f>I64+I56</f>
        <v>215138</v>
      </c>
    </row>
    <row r="67" spans="2:9" ht="12.75">
      <c r="B67" s="43"/>
      <c r="C67" s="43"/>
      <c r="D67" s="9"/>
      <c r="E67" s="9"/>
      <c r="F67" s="9"/>
      <c r="G67" s="9"/>
      <c r="I67" s="10"/>
    </row>
    <row r="68" spans="1:9" ht="13.5" thickBot="1">
      <c r="A68" s="44" t="s">
        <v>96</v>
      </c>
      <c r="B68" s="43"/>
      <c r="C68" s="43"/>
      <c r="D68" s="9"/>
      <c r="E68" s="9"/>
      <c r="F68" s="9"/>
      <c r="G68" s="12">
        <f>G66+G50</f>
        <v>1080077.8269058303</v>
      </c>
      <c r="I68" s="12">
        <f>I66+I50</f>
        <v>918683</v>
      </c>
    </row>
    <row r="69" spans="1:9" ht="13.5" thickTop="1">
      <c r="A69" s="3"/>
      <c r="C69" s="9"/>
      <c r="D69" s="9"/>
      <c r="E69" s="9"/>
      <c r="F69" s="9"/>
      <c r="G69" s="21"/>
      <c r="I69" s="21"/>
    </row>
    <row r="70" spans="1:9" ht="12.75">
      <c r="A70" s="3"/>
      <c r="C70" s="9"/>
      <c r="D70" s="9"/>
      <c r="E70" s="9"/>
      <c r="F70" s="9"/>
      <c r="G70" s="21"/>
      <c r="I70" s="21"/>
    </row>
    <row r="71" spans="1:10" ht="12.75">
      <c r="A71" s="60" t="s">
        <v>173</v>
      </c>
      <c r="C71" s="9"/>
      <c r="D71" s="9"/>
      <c r="E71" s="9"/>
      <c r="F71" s="23"/>
      <c r="G71" s="75">
        <f>(G48-G46)/'[3]June07'!$C$38</f>
        <v>1.0690626124689069</v>
      </c>
      <c r="H71" s="21"/>
      <c r="I71" s="75">
        <f>(I48-I46)/'[1]June06'!$C$36</f>
        <v>0.9538183050511229</v>
      </c>
      <c r="J71" s="49"/>
    </row>
    <row r="72" spans="1:9" ht="12.75">
      <c r="A72" s="60"/>
      <c r="C72" s="9"/>
      <c r="D72" s="9"/>
      <c r="E72" s="9"/>
      <c r="F72" s="23"/>
      <c r="G72" s="75"/>
      <c r="H72" s="21"/>
      <c r="I72" s="75"/>
    </row>
    <row r="73" spans="1:9" ht="12.75">
      <c r="A73" s="60"/>
      <c r="C73" s="9"/>
      <c r="D73" s="9"/>
      <c r="E73" s="9"/>
      <c r="F73" s="23"/>
      <c r="G73" s="75"/>
      <c r="H73" s="21"/>
      <c r="I73" s="75"/>
    </row>
    <row r="74" spans="1:10" ht="12.75">
      <c r="A74" s="121" t="s">
        <v>159</v>
      </c>
      <c r="B74" s="121"/>
      <c r="C74" s="121"/>
      <c r="D74" s="121"/>
      <c r="E74" s="121"/>
      <c r="F74" s="121"/>
      <c r="G74" s="121"/>
      <c r="H74" s="121"/>
      <c r="I74" s="121"/>
      <c r="J74" s="121"/>
    </row>
    <row r="75" spans="1:10" ht="12.75">
      <c r="A75" s="121" t="s">
        <v>119</v>
      </c>
      <c r="B75" s="121"/>
      <c r="C75" s="121"/>
      <c r="D75" s="121"/>
      <c r="E75" s="121"/>
      <c r="F75" s="121"/>
      <c r="G75" s="121"/>
      <c r="H75" s="121"/>
      <c r="I75" s="121"/>
      <c r="J75" s="121"/>
    </row>
    <row r="76" spans="1:10" ht="12.75">
      <c r="A76" s="121" t="s">
        <v>120</v>
      </c>
      <c r="B76" s="121"/>
      <c r="C76" s="121"/>
      <c r="D76" s="121"/>
      <c r="E76" s="121"/>
      <c r="F76" s="121"/>
      <c r="G76" s="121"/>
      <c r="H76" s="121"/>
      <c r="I76" s="121"/>
      <c r="J76" s="121"/>
    </row>
    <row r="78" ht="12.75">
      <c r="A78" t="s">
        <v>228</v>
      </c>
    </row>
    <row r="79" ht="12.75">
      <c r="A79" t="s">
        <v>189</v>
      </c>
    </row>
    <row r="83" spans="1:9" ht="12.75">
      <c r="A83" s="42"/>
      <c r="B83" s="43"/>
      <c r="C83" s="42"/>
      <c r="D83" s="9"/>
      <c r="E83" s="9"/>
      <c r="F83" s="9"/>
      <c r="G83" s="10"/>
      <c r="I83" s="10"/>
    </row>
    <row r="84" spans="1:9" ht="12.75">
      <c r="A84" s="103"/>
      <c r="B84" s="104"/>
      <c r="C84" s="104"/>
      <c r="D84" s="105"/>
      <c r="E84" s="105"/>
      <c r="F84" s="105"/>
      <c r="G84" s="106"/>
      <c r="H84" s="107"/>
      <c r="I84" s="106"/>
    </row>
    <row r="85" spans="1:9" ht="12.75">
      <c r="A85" s="103"/>
      <c r="B85" s="104"/>
      <c r="C85" s="103"/>
      <c r="D85" s="105"/>
      <c r="E85" s="105"/>
      <c r="F85" s="105"/>
      <c r="G85" s="106"/>
      <c r="H85" s="107"/>
      <c r="I85" s="106"/>
    </row>
  </sheetData>
  <mergeCells count="6">
    <mergeCell ref="A76:J76"/>
    <mergeCell ref="A75:J75"/>
    <mergeCell ref="A1:I1"/>
    <mergeCell ref="A2:I2"/>
    <mergeCell ref="A3:I3"/>
    <mergeCell ref="A74:J74"/>
  </mergeCells>
  <printOptions/>
  <pageMargins left="1" right="0" top="0.1" bottom="0" header="0.26" footer="0.5"/>
  <pageSetup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38"/>
  <sheetViews>
    <sheetView zoomScale="75" zoomScaleNormal="75" workbookViewId="0" topLeftCell="C9">
      <selection activeCell="M28" sqref="M28"/>
    </sheetView>
  </sheetViews>
  <sheetFormatPr defaultColWidth="9.140625" defaultRowHeight="12.75"/>
  <cols>
    <col min="1" max="1" width="25.7109375" style="0" customWidth="1"/>
    <col min="4" max="5" width="11.7109375" style="0" customWidth="1"/>
    <col min="6" max="6" width="16.00390625" style="0" customWidth="1"/>
    <col min="7" max="9" width="11.7109375" style="0" customWidth="1"/>
    <col min="10" max="10" width="15.7109375" style="0" customWidth="1"/>
    <col min="11" max="11" width="10.7109375" style="0" customWidth="1"/>
    <col min="12" max="12" width="11.7109375" style="0" customWidth="1"/>
    <col min="13" max="13" width="12.7109375" style="0" customWidth="1"/>
  </cols>
  <sheetData>
    <row r="1" spans="1:13" ht="15.75">
      <c r="A1" s="124" t="s">
        <v>225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12.75">
      <c r="A2" s="125" t="s">
        <v>106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12.75">
      <c r="A3" s="125" t="s">
        <v>107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0" ht="12.75">
      <c r="A4" s="39"/>
      <c r="B4" s="39"/>
      <c r="C4" s="39"/>
      <c r="D4" s="39"/>
      <c r="E4" s="39"/>
      <c r="F4" s="39"/>
      <c r="G4" s="39"/>
      <c r="H4" s="39"/>
      <c r="I4" s="39"/>
      <c r="J4" s="39"/>
    </row>
    <row r="5" spans="1:13" ht="13.5" thickBot="1">
      <c r="A5" s="59" t="s">
        <v>179</v>
      </c>
      <c r="B5" s="40"/>
      <c r="C5" s="40"/>
      <c r="D5" s="40"/>
      <c r="E5" s="40"/>
      <c r="F5" s="40"/>
      <c r="G5" s="40"/>
      <c r="H5" s="40"/>
      <c r="I5" s="40"/>
      <c r="J5" s="35"/>
      <c r="K5" s="22"/>
      <c r="L5" s="22"/>
      <c r="M5" s="22"/>
    </row>
    <row r="6" spans="1:10" ht="15.75">
      <c r="A6" s="32"/>
      <c r="B6" s="30"/>
      <c r="C6" s="27"/>
      <c r="D6" s="28"/>
      <c r="E6" s="28"/>
      <c r="F6" s="28"/>
      <c r="G6" s="28"/>
      <c r="H6" s="31"/>
      <c r="I6" s="31"/>
      <c r="J6" s="31"/>
    </row>
    <row r="7" spans="1:10" ht="15.75">
      <c r="A7" s="60" t="s">
        <v>180</v>
      </c>
      <c r="B7" s="30"/>
      <c r="C7" s="27"/>
      <c r="D7" s="28"/>
      <c r="E7" s="28"/>
      <c r="F7" s="28"/>
      <c r="G7" s="28"/>
      <c r="H7" s="31"/>
      <c r="I7" s="31"/>
      <c r="J7" s="31"/>
    </row>
    <row r="8" ht="12.75">
      <c r="A8" s="14"/>
    </row>
    <row r="9" spans="2:13" ht="12.75">
      <c r="B9" s="14" t="s">
        <v>190</v>
      </c>
      <c r="D9" s="4"/>
      <c r="E9" s="108"/>
      <c r="F9" s="108"/>
      <c r="G9" s="108"/>
      <c r="H9" s="108"/>
      <c r="I9" s="108"/>
      <c r="J9" s="108"/>
      <c r="L9" s="23" t="s">
        <v>98</v>
      </c>
      <c r="M9" s="23" t="s">
        <v>99</v>
      </c>
    </row>
    <row r="10" spans="4:13" ht="12.75">
      <c r="D10" s="23"/>
      <c r="E10" s="23"/>
      <c r="F10" s="23"/>
      <c r="G10" s="23"/>
      <c r="H10" s="23" t="s">
        <v>37</v>
      </c>
      <c r="I10" s="23"/>
      <c r="J10" s="23"/>
      <c r="L10" s="73" t="s">
        <v>130</v>
      </c>
      <c r="M10" s="23" t="s">
        <v>131</v>
      </c>
    </row>
    <row r="11" spans="4:12" ht="12.75">
      <c r="D11" s="23" t="s">
        <v>34</v>
      </c>
      <c r="E11" s="23" t="s">
        <v>35</v>
      </c>
      <c r="F11" s="23" t="s">
        <v>64</v>
      </c>
      <c r="G11" s="23" t="s">
        <v>36</v>
      </c>
      <c r="H11" s="23" t="s">
        <v>126</v>
      </c>
      <c r="I11" s="23" t="s">
        <v>38</v>
      </c>
      <c r="J11" s="23" t="s">
        <v>39</v>
      </c>
      <c r="K11" s="23" t="s">
        <v>41</v>
      </c>
      <c r="L11" s="23"/>
    </row>
    <row r="12" spans="4:10" ht="12.75">
      <c r="D12" s="23" t="s">
        <v>123</v>
      </c>
      <c r="E12" s="23" t="s">
        <v>124</v>
      </c>
      <c r="F12" s="73" t="s">
        <v>65</v>
      </c>
      <c r="G12" s="23" t="s">
        <v>125</v>
      </c>
      <c r="H12" s="23" t="s">
        <v>127</v>
      </c>
      <c r="I12" s="23" t="s">
        <v>128</v>
      </c>
      <c r="J12" s="23" t="s">
        <v>129</v>
      </c>
    </row>
    <row r="13" spans="4:13" ht="12.75"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</row>
    <row r="14" spans="4:12" ht="12.75"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2.75">
      <c r="A15" s="14" t="s">
        <v>182</v>
      </c>
      <c r="D15" s="23"/>
      <c r="E15" s="23"/>
      <c r="F15" s="23"/>
      <c r="G15" s="23"/>
      <c r="H15" s="23"/>
      <c r="I15" s="23"/>
      <c r="J15" s="23"/>
      <c r="K15" s="23"/>
      <c r="L15" s="23"/>
    </row>
    <row r="17" spans="1:36" ht="12.75">
      <c r="A17" s="54" t="s">
        <v>97</v>
      </c>
      <c r="D17" s="46">
        <v>618966</v>
      </c>
      <c r="E17" s="46">
        <v>66394</v>
      </c>
      <c r="F17" s="46">
        <v>103768</v>
      </c>
      <c r="G17" s="46">
        <v>1200</v>
      </c>
      <c r="H17" s="46">
        <v>8837</v>
      </c>
      <c r="I17" s="46">
        <v>-5713</v>
      </c>
      <c r="J17" s="46">
        <v>-112705</v>
      </c>
      <c r="K17" s="46">
        <f>SUM(D17:J17)</f>
        <v>680747</v>
      </c>
      <c r="L17" s="46">
        <f>'BS'!I49</f>
        <v>22798</v>
      </c>
      <c r="M17" s="46">
        <f>L17+K17</f>
        <v>703545</v>
      </c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</row>
    <row r="18" spans="4:36" ht="12.75"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</row>
    <row r="19" spans="1:36" ht="12.75">
      <c r="A19" t="s">
        <v>42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f>I35-I17</f>
        <v>-3226</v>
      </c>
      <c r="J19" s="46">
        <v>0</v>
      </c>
      <c r="K19" s="46">
        <f>SUM(D19:J19)</f>
        <v>-3226</v>
      </c>
      <c r="L19" s="46">
        <v>0</v>
      </c>
      <c r="M19" s="46">
        <f>L19+K19</f>
        <v>-3226</v>
      </c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</row>
    <row r="20" spans="4:36" ht="12.75"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</row>
    <row r="21" spans="1:36" ht="12.75">
      <c r="A21" s="90" t="s">
        <v>165</v>
      </c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</row>
    <row r="22" spans="1:36" ht="12.75">
      <c r="A22" t="s">
        <v>166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f>SUM(D22:J22)</f>
        <v>0</v>
      </c>
      <c r="L22" s="46">
        <f>-'[4]mi&amp;gw'!$G$9-'[4]mi&amp;gw'!$J$9-'[4]mi&amp;gw'!$J$10-'[4]mi&amp;gw'!$I$9</f>
        <v>7311.1248484</v>
      </c>
      <c r="M22" s="46">
        <f>L22+K22</f>
        <v>7311.1248484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</row>
    <row r="23" spans="4:36" ht="12.75"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</row>
    <row r="24" spans="1:36" ht="12.75">
      <c r="A24" s="90" t="s">
        <v>167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</row>
    <row r="25" spans="1:36" ht="12.75">
      <c r="A25" t="s">
        <v>168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f>-'[4]mi&amp;gw'!$H$9</f>
        <v>-17048.2007366</v>
      </c>
      <c r="M25" s="46">
        <f>L25+K25</f>
        <v>-17048.2007366</v>
      </c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</row>
    <row r="26" spans="4:36" ht="12.75"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</row>
    <row r="27" spans="1:36" ht="12.75">
      <c r="A27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f>H35-H17</f>
        <v>21.829582841739466</v>
      </c>
      <c r="I27" s="46">
        <v>0</v>
      </c>
      <c r="J27" s="46">
        <v>0</v>
      </c>
      <c r="K27" s="46">
        <f>SUM(D27:J27)</f>
        <v>21.829582841739466</v>
      </c>
      <c r="L27" s="46">
        <f>-'[4]mi&amp;gw'!$D$9-'[4]mi&amp;gw'!$E$9</f>
        <v>38.261234618600014</v>
      </c>
      <c r="M27" s="46">
        <f>L27+K27</f>
        <v>60.09081746033948</v>
      </c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</row>
    <row r="28" spans="4:36" ht="12.75"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</row>
    <row r="29" spans="1:36" ht="12.75">
      <c r="A29" t="s">
        <v>66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f>'[2]M-GER95A.XLS'!$U$103</f>
        <v>-8301</v>
      </c>
      <c r="K29" s="46">
        <f>SUM(D29:J29)</f>
        <v>-8301</v>
      </c>
      <c r="L29" s="46">
        <v>0</v>
      </c>
      <c r="M29" s="46">
        <f>L29+K29</f>
        <v>-8301</v>
      </c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</row>
    <row r="30" spans="4:36" ht="12.75"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</row>
    <row r="31" spans="1:36" ht="12.75">
      <c r="A31" s="54" t="s">
        <v>139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f>-'[4]mi&amp;gw'!$F$9-'[4]mi&amp;gw'!$F$10</f>
        <v>-2588.2025847083</v>
      </c>
      <c r="M31" s="46">
        <f>L31+K31</f>
        <v>-2588.2025847083</v>
      </c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</row>
    <row r="32" spans="4:36" ht="12.75"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</row>
    <row r="33" spans="1:36" ht="12.75">
      <c r="A33" s="54" t="s">
        <v>222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f>'P&amp;L'!H51</f>
        <v>74374.07541653646</v>
      </c>
      <c r="K33" s="46">
        <f>J33</f>
        <v>74374.07541653646</v>
      </c>
      <c r="L33" s="46">
        <f>'P&amp;L'!H52</f>
        <v>1595.7616172641467</v>
      </c>
      <c r="M33" s="46">
        <f>L33+K33</f>
        <v>75969.8370338006</v>
      </c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</row>
    <row r="34" spans="4:36" ht="12.75"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</row>
    <row r="35" spans="1:36" ht="13.5" thickBot="1">
      <c r="A35" s="54" t="s">
        <v>181</v>
      </c>
      <c r="D35" s="53">
        <f>SUM(D17:D34)</f>
        <v>618966</v>
      </c>
      <c r="E35" s="53">
        <f>SUM(E17:E34)</f>
        <v>66394</v>
      </c>
      <c r="F35" s="53">
        <f>'[2]M-GER95A.XLS'!$U$117</f>
        <v>103768</v>
      </c>
      <c r="G35" s="53">
        <f>SUM(G17:G34)</f>
        <v>1200</v>
      </c>
      <c r="H35" s="53">
        <f>'[2]M-GER95A.XLS'!$U$91-2</f>
        <v>8858.82958284174</v>
      </c>
      <c r="I35" s="53">
        <f>'[2]M-GER95A.XLS'!$U$90</f>
        <v>-8939</v>
      </c>
      <c r="J35" s="53">
        <f>SUM(J17:J34)</f>
        <v>-46631.92458346354</v>
      </c>
      <c r="K35" s="53">
        <f>SUM(K17:K34)</f>
        <v>743615.9049993781</v>
      </c>
      <c r="L35" s="53">
        <f>'BS'!G49</f>
        <v>12107.070647465918</v>
      </c>
      <c r="M35" s="53">
        <f>L35+K35</f>
        <v>755722.975646844</v>
      </c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</row>
    <row r="36" spans="4:36" ht="12.75">
      <c r="D36" s="46"/>
      <c r="E36" s="46"/>
      <c r="F36" s="46"/>
      <c r="G36" s="46"/>
      <c r="H36" s="46"/>
      <c r="I36" s="46"/>
      <c r="J36" s="46"/>
      <c r="K36" s="1"/>
      <c r="L36" s="1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</row>
    <row r="37" spans="4:36" ht="12.75"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</row>
    <row r="38" spans="1:36" ht="12.75">
      <c r="A38" s="14" t="s">
        <v>184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</row>
    <row r="39" spans="1:36" ht="12.75">
      <c r="A39" s="14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</row>
    <row r="40" spans="1:36" ht="12.75">
      <c r="A40" s="54" t="s">
        <v>84</v>
      </c>
      <c r="D40" s="46">
        <v>618966</v>
      </c>
      <c r="E40" s="46">
        <v>66394</v>
      </c>
      <c r="F40" s="46">
        <v>103768</v>
      </c>
      <c r="G40" s="46">
        <v>1200</v>
      </c>
      <c r="H40" s="46">
        <v>9853</v>
      </c>
      <c r="I40" s="46">
        <v>-5643</v>
      </c>
      <c r="J40" s="46">
        <v>-125537</v>
      </c>
      <c r="K40" s="46">
        <f>SUM(D40:J40)</f>
        <v>669001</v>
      </c>
      <c r="L40" s="46">
        <v>24096</v>
      </c>
      <c r="M40" s="46">
        <f>L40+K40</f>
        <v>693097</v>
      </c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</row>
    <row r="41" spans="4:36" ht="12.75"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</row>
    <row r="42" spans="1:36" ht="12.75">
      <c r="A42" t="s">
        <v>42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-70</v>
      </c>
      <c r="J42" s="46">
        <v>0</v>
      </c>
      <c r="K42" s="46">
        <f>SUM(D42:J42)</f>
        <v>-70</v>
      </c>
      <c r="L42" s="46">
        <v>0</v>
      </c>
      <c r="M42" s="46">
        <f>L42+K42</f>
        <v>-70</v>
      </c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</row>
    <row r="43" spans="4:36" ht="12.75"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ht="12.75">
      <c r="A44" s="90" t="s">
        <v>165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1:36" ht="12.75">
      <c r="A45" t="s">
        <v>166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f>SUM(D45:J45)</f>
        <v>0</v>
      </c>
      <c r="L45" s="46">
        <v>446</v>
      </c>
      <c r="M45" s="46">
        <f>L45+K45</f>
        <v>446</v>
      </c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4:36" ht="12.75">
      <c r="D46" s="46"/>
      <c r="E46" s="46"/>
      <c r="F46" s="46"/>
      <c r="G46" s="46"/>
      <c r="H46" s="46"/>
      <c r="I46" s="46"/>
      <c r="J46" s="15" t="s">
        <v>43</v>
      </c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1:36" ht="12.75">
      <c r="A47" t="s">
        <v>40</v>
      </c>
      <c r="D47" s="46">
        <v>0</v>
      </c>
      <c r="E47" s="46">
        <v>0</v>
      </c>
      <c r="F47" s="46">
        <v>0</v>
      </c>
      <c r="G47" s="46">
        <v>0</v>
      </c>
      <c r="H47" s="46">
        <v>-1016</v>
      </c>
      <c r="I47" s="46">
        <v>0</v>
      </c>
      <c r="J47" s="46">
        <v>0</v>
      </c>
      <c r="K47" s="46">
        <f>SUM(D47:J47)</f>
        <v>-1016</v>
      </c>
      <c r="L47" s="46">
        <f>-59-48</f>
        <v>-107</v>
      </c>
      <c r="M47" s="46">
        <f>L47+K47</f>
        <v>-1123</v>
      </c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</row>
    <row r="48" spans="4:36" ht="12.75"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</row>
    <row r="49" spans="1:36" ht="12.75">
      <c r="A49" t="s">
        <v>66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-8302</v>
      </c>
      <c r="K49" s="46">
        <f>SUM(D49:J49)</f>
        <v>-8302</v>
      </c>
      <c r="L49" s="46">
        <v>0</v>
      </c>
      <c r="M49" s="46">
        <f>L49+K49</f>
        <v>-8302</v>
      </c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</row>
    <row r="50" spans="4:36" ht="12.75"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</row>
    <row r="51" spans="1:36" ht="12.75">
      <c r="A51" t="s">
        <v>186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f>SUM(D51:J51)</f>
        <v>0</v>
      </c>
      <c r="L51" s="46">
        <v>-2123</v>
      </c>
      <c r="M51" s="46">
        <f>L51+K51</f>
        <v>-2123</v>
      </c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</row>
    <row r="52" spans="4:36" ht="12.75"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</row>
    <row r="53" spans="1:36" ht="12.75">
      <c r="A53" t="s">
        <v>187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</row>
    <row r="54" spans="1:36" ht="12.75">
      <c r="A54" t="s">
        <v>188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f>SUM(D54:J54)</f>
        <v>0</v>
      </c>
      <c r="L54" s="46">
        <v>-94</v>
      </c>
      <c r="M54" s="46">
        <f>L54+K54</f>
        <v>-94</v>
      </c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</row>
    <row r="55" spans="4:36" ht="12.75"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</row>
    <row r="56" spans="1:36" ht="12.75">
      <c r="A56" s="54" t="s">
        <v>139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f>SUM(D56:J56)</f>
        <v>0</v>
      </c>
      <c r="L56" s="46">
        <v>-1117</v>
      </c>
      <c r="M56" s="46">
        <f>L56+K56</f>
        <v>-1117</v>
      </c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</row>
    <row r="57" spans="4:36" ht="12.75"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</row>
    <row r="58" spans="1:36" ht="12.75">
      <c r="A58" s="54" t="s">
        <v>222</v>
      </c>
      <c r="D58" s="46">
        <v>0</v>
      </c>
      <c r="E58" s="46">
        <v>0</v>
      </c>
      <c r="F58" s="46"/>
      <c r="G58" s="46">
        <v>0</v>
      </c>
      <c r="H58" s="46">
        <v>0</v>
      </c>
      <c r="I58" s="46">
        <v>0</v>
      </c>
      <c r="J58" s="46">
        <v>21134</v>
      </c>
      <c r="K58" s="46">
        <f>SUM(D58:J58)</f>
        <v>21134</v>
      </c>
      <c r="L58" s="46">
        <v>1697</v>
      </c>
      <c r="M58" s="46">
        <f>L58+K58</f>
        <v>22831</v>
      </c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</row>
    <row r="59" spans="4:36" ht="12.75"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</row>
    <row r="60" spans="1:36" ht="13.5" thickBot="1">
      <c r="A60" s="54" t="s">
        <v>185</v>
      </c>
      <c r="D60" s="53">
        <f aca="true" t="shared" si="0" ref="D60:K60">SUM(D40:D59)</f>
        <v>618966</v>
      </c>
      <c r="E60" s="53">
        <f t="shared" si="0"/>
        <v>66394</v>
      </c>
      <c r="F60" s="53">
        <f t="shared" si="0"/>
        <v>103768</v>
      </c>
      <c r="G60" s="53">
        <f t="shared" si="0"/>
        <v>1200</v>
      </c>
      <c r="H60" s="53">
        <f>SUM(H40:H59)</f>
        <v>8837</v>
      </c>
      <c r="I60" s="53">
        <f t="shared" si="0"/>
        <v>-5713</v>
      </c>
      <c r="J60" s="53">
        <f t="shared" si="0"/>
        <v>-112705</v>
      </c>
      <c r="K60" s="53">
        <f t="shared" si="0"/>
        <v>680747</v>
      </c>
      <c r="L60" s="53">
        <f>SUM(L40:L59)</f>
        <v>22798</v>
      </c>
      <c r="M60" s="53">
        <f>L60+K60</f>
        <v>703545</v>
      </c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</row>
    <row r="61" spans="4:36" ht="12.75">
      <c r="D61" s="46"/>
      <c r="E61" s="46"/>
      <c r="F61" s="46"/>
      <c r="G61" s="46"/>
      <c r="H61" s="46"/>
      <c r="I61" s="46"/>
      <c r="J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</row>
    <row r="62" spans="4:36" ht="12.75"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</row>
    <row r="63" spans="4:36" ht="12.75"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</row>
    <row r="64" spans="1:36" ht="12.75">
      <c r="A64" s="121" t="s">
        <v>132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</row>
    <row r="65" spans="1:36" ht="12.75">
      <c r="A65" s="121" t="s">
        <v>133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</row>
    <row r="66" spans="4:36" ht="12.75"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</row>
    <row r="67" spans="4:36" ht="12.75"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</row>
    <row r="68" spans="4:36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</row>
    <row r="69" spans="4:36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</row>
    <row r="70" spans="4:36" ht="12.75">
      <c r="D70" s="46"/>
      <c r="E70" s="46"/>
      <c r="F70" s="46"/>
      <c r="G70" s="46"/>
      <c r="H70" s="46"/>
      <c r="I70" s="46"/>
      <c r="J70" s="46"/>
      <c r="K70" s="46"/>
      <c r="L70" s="15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</row>
    <row r="71" spans="4:36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</row>
    <row r="72" spans="4:36" ht="12.75"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</row>
    <row r="73" spans="4:36" ht="12.75"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</row>
    <row r="74" spans="4:36" ht="12.75"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</row>
    <row r="75" spans="4:36" ht="12.75"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</row>
    <row r="76" spans="4:36" ht="12.75"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</row>
    <row r="77" spans="4:36" ht="12.75"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</row>
    <row r="78" spans="4:36" ht="12.75"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</row>
    <row r="79" spans="4:36" ht="12.75"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</row>
    <row r="80" spans="4:36" ht="12.75"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</row>
    <row r="81" spans="4:36" ht="12.75"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</row>
    <row r="82" spans="4:36" ht="12.75"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</row>
    <row r="83" spans="4:36" ht="12.75"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</row>
    <row r="84" spans="4:36" ht="12.75"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</row>
    <row r="85" spans="4:36" ht="12.75"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</row>
    <row r="86" spans="4:36" ht="12.75"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</row>
    <row r="87" spans="4:36" ht="12.75"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</row>
    <row r="88" spans="4:36" ht="12.75"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</row>
    <row r="89" spans="4:36" ht="12.75"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</row>
    <row r="90" spans="4:36" ht="12.75"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</row>
    <row r="91" spans="4:36" ht="12.75"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</row>
    <row r="92" spans="4:36" ht="12.75"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</row>
    <row r="93" spans="4:36" ht="12.75"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</row>
    <row r="94" spans="4:36" ht="12.75"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</row>
    <row r="95" spans="4:36" ht="12.75"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</row>
    <row r="96" spans="4:36" ht="12.75"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</row>
    <row r="97" spans="4:36" ht="12.75"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</row>
    <row r="98" spans="4:36" ht="12.75"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</row>
    <row r="99" spans="4:36" ht="12.75"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</row>
    <row r="100" spans="4:36" ht="12.75"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</row>
    <row r="101" spans="4:36" ht="12.75"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</row>
    <row r="102" spans="4:36" ht="12.75"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</row>
    <row r="103" spans="4:36" ht="12.75"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</row>
    <row r="104" spans="4:36" ht="12.75"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</row>
    <row r="105" spans="4:36" ht="12.75"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</row>
    <row r="106" spans="4:36" ht="12.75"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</row>
    <row r="107" spans="4:36" ht="12.75"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</row>
    <row r="108" spans="4:36" ht="12.75"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</row>
    <row r="109" spans="4:36" ht="12.75"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</row>
    <row r="110" spans="4:36" ht="12.75"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</row>
    <row r="111" spans="4:36" ht="12.75"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</row>
    <row r="112" spans="4:36" ht="12.75"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</row>
    <row r="113" spans="4:36" ht="12.75"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</row>
    <row r="114" spans="4:36" ht="12.75"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</row>
    <row r="115" spans="4:36" ht="12.75"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</row>
    <row r="116" spans="4:36" ht="12.75"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</row>
    <row r="117" spans="4:36" ht="12.75"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</row>
    <row r="118" spans="4:36" ht="12.75"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</row>
    <row r="119" spans="4:36" ht="12.75"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</row>
    <row r="120" spans="4:36" ht="12.75"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</row>
    <row r="121" spans="4:36" ht="12.75"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</row>
    <row r="122" spans="4:36" ht="12.75"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</row>
    <row r="123" spans="4:36" ht="12.75"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</row>
    <row r="124" spans="4:36" ht="12.75"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</row>
    <row r="125" spans="4:36" ht="12.75"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</row>
    <row r="126" spans="4:36" ht="12.75"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</row>
    <row r="127" spans="4:36" ht="12.75"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</row>
    <row r="128" spans="4:36" ht="12.75"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</row>
    <row r="129" spans="4:36" ht="12.75"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</row>
    <row r="130" spans="4:36" ht="12.75"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</row>
    <row r="131" spans="4:36" ht="12.75"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</row>
    <row r="132" spans="4:36" ht="12.75"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</row>
    <row r="133" spans="4:36" ht="12.75"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</row>
    <row r="134" spans="4:36" ht="12.75"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</row>
    <row r="135" spans="4:36" ht="12.75"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</row>
    <row r="136" spans="4:36" ht="12.75"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</row>
    <row r="137" spans="4:36" ht="12.75"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</row>
    <row r="138" spans="4:36" ht="12.75"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</row>
    <row r="139" spans="4:36" ht="12.75"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</row>
    <row r="140" spans="4:36" ht="12.75"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</row>
    <row r="141" spans="4:36" ht="12.75"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</row>
    <row r="142" spans="4:36" ht="12.75"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</row>
    <row r="143" spans="4:36" ht="12.75"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</row>
    <row r="144" spans="4:36" ht="12.75"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</row>
    <row r="145" spans="4:36" ht="12.75"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</row>
    <row r="146" spans="4:36" ht="12.75"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</row>
    <row r="147" spans="4:36" ht="12.75"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</row>
    <row r="148" spans="4:36" ht="12.75"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</row>
    <row r="149" spans="4:36" ht="12.75"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</row>
    <row r="150" spans="4:36" ht="12.75"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</row>
    <row r="151" spans="4:36" ht="12.75"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</row>
    <row r="152" spans="4:36" ht="12.75"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</row>
    <row r="153" spans="4:36" ht="12.75"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</row>
    <row r="154" spans="4:36" ht="12.75"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</row>
    <row r="155" spans="4:36" ht="12.75"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</row>
    <row r="156" spans="4:36" ht="12.75"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</row>
    <row r="157" spans="4:36" ht="12.75"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</row>
    <row r="158" spans="4:36" ht="12.75"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</row>
    <row r="159" spans="4:36" ht="12.75"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</row>
    <row r="160" spans="4:36" ht="12.75"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</row>
    <row r="161" spans="4:36" ht="12.75"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</row>
    <row r="162" spans="4:36" ht="12.75"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</row>
    <row r="163" spans="4:36" ht="12.75"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</row>
    <row r="164" spans="4:36" ht="12.75"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</row>
    <row r="165" spans="4:36" ht="12.75"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</row>
    <row r="166" spans="4:36" ht="12.75"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</row>
    <row r="167" spans="4:36" ht="12.75"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</row>
    <row r="168" spans="4:36" ht="12.75"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</row>
    <row r="169" spans="4:36" ht="12.75"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</row>
    <row r="170" spans="4:36" ht="12.75"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</row>
    <row r="171" spans="4:36" ht="12.75"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</row>
    <row r="172" spans="4:36" ht="12.75"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</row>
    <row r="173" spans="4:36" ht="12.75"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</row>
    <row r="174" spans="4:36" ht="12.75"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</row>
    <row r="175" spans="4:36" ht="12.75"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</row>
    <row r="176" spans="4:36" ht="12.75"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</row>
    <row r="177" spans="4:36" ht="12.75"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</row>
    <row r="178" spans="4:36" ht="12.75"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</row>
    <row r="179" spans="4:36" ht="12.75"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</row>
    <row r="180" spans="4:36" ht="12.75"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</row>
    <row r="181" spans="4:36" ht="12.75"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</row>
    <row r="182" spans="4:36" ht="12.75"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</row>
    <row r="183" spans="4:36" ht="12.75"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</row>
    <row r="184" spans="4:36" ht="12.75"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</row>
    <row r="185" spans="4:36" ht="12.75"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</row>
    <row r="186" spans="4:36" ht="12.75"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</row>
    <row r="187" spans="4:36" ht="12.75"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</row>
    <row r="188" spans="4:36" ht="12.75"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</row>
    <row r="189" spans="4:36" ht="12.75"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</row>
    <row r="190" spans="4:36" ht="12.75"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</row>
    <row r="191" spans="4:36" ht="12.75"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</row>
    <row r="192" spans="4:36" ht="12.75"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</row>
    <row r="193" spans="4:36" ht="12.75"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</row>
    <row r="194" spans="4:36" ht="12.75"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</row>
    <row r="195" spans="4:36" ht="12.75"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</row>
    <row r="196" spans="4:36" ht="12.75"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</row>
    <row r="197" spans="4:36" ht="12.75"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</row>
    <row r="198" spans="4:36" ht="12.75"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</row>
    <row r="199" spans="4:36" ht="12.75"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</row>
    <row r="200" spans="4:36" ht="12.75"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</row>
    <row r="201" spans="4:36" ht="12.75"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</row>
    <row r="202" spans="4:36" ht="12.75"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</row>
    <row r="203" spans="4:36" ht="12.75"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</row>
    <row r="204" spans="4:36" ht="12.75"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</row>
    <row r="205" spans="4:36" ht="12.75"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</row>
    <row r="206" spans="4:36" ht="12.75"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</row>
    <row r="207" spans="4:36" ht="12.75"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</row>
    <row r="208" spans="4:36" ht="12.75"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</row>
    <row r="209" spans="4:36" ht="12.75"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</row>
    <row r="210" spans="4:36" ht="12.75"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</row>
    <row r="211" spans="4:36" ht="12.75"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</row>
    <row r="212" spans="4:36" ht="12.75"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</row>
    <row r="213" spans="4:36" ht="12.75"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</row>
    <row r="214" spans="4:36" ht="12.75"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</row>
    <row r="215" spans="4:36" ht="12.75"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</row>
    <row r="216" spans="4:36" ht="12.75"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</row>
    <row r="217" spans="4:36" ht="12.75"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</row>
    <row r="218" spans="4:36" ht="12.75"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</row>
    <row r="219" spans="4:36" ht="12.75"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</row>
    <row r="220" spans="4:36" ht="12.75"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</row>
    <row r="221" spans="4:36" ht="12.75"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</row>
    <row r="222" spans="4:36" ht="12.75"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</row>
    <row r="223" spans="4:36" ht="12.75"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</row>
    <row r="224" spans="4:36" ht="12.75"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</row>
    <row r="225" spans="4:36" ht="12.75"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</row>
    <row r="226" spans="4:36" ht="12.75"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</row>
    <row r="227" spans="4:36" ht="12.75"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</row>
    <row r="228" spans="4:36" ht="12.75"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</row>
    <row r="229" spans="4:36" ht="12.75"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</row>
    <row r="230" spans="4:36" ht="12.75"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</row>
    <row r="231" spans="4:36" ht="12.75"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</row>
    <row r="232" spans="4:36" ht="12.75"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</row>
    <row r="233" spans="4:36" ht="12.75"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</row>
    <row r="234" spans="4:36" ht="12.75"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</row>
    <row r="235" spans="4:36" ht="12.75"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</row>
    <row r="236" spans="4:36" ht="12.75"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</row>
    <row r="237" spans="4:36" ht="12.75"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</row>
    <row r="238" spans="4:36" ht="12.75"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</row>
    <row r="239" spans="4:36" ht="12.75"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</row>
    <row r="240" spans="4:36" ht="12.75"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</row>
    <row r="241" spans="4:36" ht="12.75"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</row>
    <row r="242" spans="4:36" ht="12.75"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</row>
    <row r="243" spans="4:36" ht="12.75"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</row>
    <row r="244" spans="4:36" ht="12.75"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</row>
    <row r="245" spans="4:36" ht="12.75"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</row>
    <row r="246" spans="4:36" ht="12.75"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</row>
    <row r="247" spans="4:36" ht="12.75"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</row>
    <row r="248" spans="4:36" ht="12.75"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</row>
    <row r="249" spans="4:36" ht="12.75"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</row>
    <row r="250" spans="4:36" ht="12.75"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</row>
    <row r="251" spans="4:36" ht="12.75"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</row>
    <row r="252" spans="4:36" ht="12.75"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</row>
    <row r="253" spans="4:36" ht="12.75"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</row>
    <row r="254" spans="4:36" ht="12.75"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</row>
    <row r="255" spans="4:36" ht="12.75"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</row>
    <row r="256" spans="4:36" ht="12.75"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</row>
    <row r="257" spans="4:36" ht="12.75"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</row>
    <row r="258" spans="4:36" ht="12.75"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</row>
    <row r="259" spans="4:36" ht="12.75"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</row>
    <row r="260" spans="4:36" ht="12.75"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</row>
    <row r="261" spans="4:36" ht="12.75"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</row>
    <row r="262" spans="4:36" ht="12.75"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</row>
    <row r="263" spans="4:36" ht="12.75"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</row>
    <row r="264" spans="4:36" ht="12.75"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</row>
    <row r="265" spans="4:36" ht="12.75"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</row>
    <row r="266" spans="4:36" ht="12.75"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</row>
    <row r="267" spans="4:36" ht="12.75"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</row>
    <row r="268" spans="4:36" ht="12.75"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</row>
    <row r="269" spans="4:36" ht="12.75"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</row>
    <row r="270" spans="4:36" ht="12.75"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</row>
    <row r="271" spans="4:36" ht="12.75"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</row>
    <row r="272" spans="4:36" ht="12.75"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</row>
    <row r="273" spans="4:36" ht="12.75"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</row>
    <row r="274" spans="4:36" ht="12.75"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</row>
    <row r="275" spans="4:36" ht="12.75"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</row>
    <row r="276" spans="4:36" ht="12.75"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</row>
    <row r="277" spans="4:36" ht="12.75"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</row>
    <row r="278" spans="4:36" ht="12.75"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</row>
    <row r="279" spans="4:36" ht="12.75"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</row>
    <row r="280" spans="4:36" ht="12.75"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</row>
    <row r="281" spans="4:36" ht="12.75"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</row>
    <row r="282" spans="4:36" ht="12.75"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</row>
    <row r="283" spans="4:36" ht="12.75"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</row>
    <row r="284" spans="4:36" ht="12.75"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</row>
    <row r="285" spans="4:36" ht="12.75"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</row>
    <row r="286" spans="4:36" ht="12.75"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</row>
    <row r="287" spans="4:36" ht="12.75"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</row>
    <row r="288" spans="4:36" ht="12.75"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</row>
    <row r="289" spans="4:36" ht="12.75"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</row>
    <row r="290" spans="4:36" ht="12.75"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</row>
    <row r="291" spans="4:36" ht="12.75"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</row>
    <row r="292" spans="4:36" ht="12.75"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</row>
    <row r="293" spans="4:36" ht="12.75"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</row>
    <row r="294" spans="4:36" ht="12.75"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</row>
    <row r="295" spans="4:36" ht="12.75"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</row>
    <row r="296" spans="4:36" ht="12.75"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</row>
    <row r="297" spans="4:36" ht="12.75"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</row>
    <row r="298" spans="4:36" ht="12.75"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</row>
    <row r="299" spans="4:36" ht="12.75"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</row>
    <row r="300" spans="4:36" ht="12.75"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</row>
    <row r="301" spans="4:36" ht="12.75"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</row>
    <row r="302" spans="4:36" ht="12.75"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</row>
    <row r="303" spans="4:36" ht="12.75"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</row>
    <row r="304" spans="4:36" ht="12.75"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</row>
    <row r="305" spans="4:36" ht="12.75"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</row>
    <row r="306" spans="4:36" ht="12.75"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</row>
    <row r="307" spans="4:36" ht="12.75"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</row>
    <row r="308" spans="4:36" ht="12.75"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</row>
    <row r="309" spans="4:36" ht="12.75"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</row>
    <row r="310" spans="4:36" ht="12.75"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</row>
    <row r="311" spans="4:36" ht="12.75"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</row>
    <row r="312" spans="4:36" ht="12.75"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</row>
    <row r="313" spans="4:36" ht="12.75"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</row>
    <row r="314" spans="4:36" ht="12.75"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</row>
    <row r="315" spans="4:36" ht="12.75"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</row>
    <row r="316" spans="4:36" ht="12.75"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</row>
    <row r="317" spans="4:36" ht="12.75"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</row>
    <row r="318" spans="4:36" ht="12.75"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</row>
    <row r="319" spans="4:36" ht="12.75"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</row>
    <row r="320" spans="4:36" ht="12.75"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</row>
    <row r="321" spans="4:36" ht="12.75"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</row>
    <row r="322" spans="4:36" ht="12.75"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</row>
    <row r="323" spans="4:36" ht="12.75"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</row>
    <row r="324" spans="4:36" ht="12.75"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</row>
    <row r="325" spans="4:36" ht="12.75"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</row>
    <row r="326" spans="4:36" ht="12.75"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</row>
    <row r="327" spans="4:36" ht="12.75"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</row>
    <row r="328" spans="4:36" ht="12.75"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</row>
    <row r="329" spans="4:36" ht="12.75"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</row>
    <row r="330" spans="4:36" ht="12.75"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</row>
    <row r="331" spans="4:36" ht="12.75"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</row>
    <row r="332" spans="4:36" ht="12.75"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</row>
    <row r="333" spans="4:36" ht="12.75"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</row>
    <row r="334" spans="4:36" ht="12.75"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</row>
    <row r="335" spans="4:36" ht="12.75"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</row>
    <row r="336" spans="4:36" ht="12.75"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</row>
    <row r="337" spans="4:36" ht="12.75"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</row>
    <row r="338" spans="4:36" ht="12.75"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</row>
    <row r="339" spans="4:36" ht="12.75"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</row>
    <row r="340" spans="4:36" ht="12.75"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</row>
    <row r="341" spans="4:36" ht="12.75"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</row>
    <row r="342" spans="4:36" ht="12.75"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</row>
    <row r="343" spans="4:36" ht="12.75"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</row>
    <row r="344" spans="4:36" ht="12.75"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</row>
    <row r="345" spans="4:36" ht="12.75"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</row>
    <row r="346" spans="4:36" ht="12.75"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</row>
    <row r="347" spans="4:36" ht="12.75"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</row>
    <row r="348" spans="4:36" ht="12.75"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</row>
    <row r="349" spans="4:36" ht="12.75"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</row>
    <row r="350" spans="4:36" ht="12.75"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</row>
    <row r="351" spans="4:36" ht="12.75"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</row>
    <row r="352" spans="4:36" ht="12.75"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</row>
    <row r="353" spans="4:36" ht="12.75"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</row>
    <row r="354" spans="4:36" ht="12.75"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</row>
    <row r="355" spans="4:36" ht="12.75"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</row>
    <row r="356" spans="4:36" ht="12.75"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</row>
    <row r="357" spans="4:36" ht="12.75"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</row>
    <row r="358" spans="4:36" ht="12.75"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</row>
    <row r="359" spans="4:36" ht="12.75"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</row>
    <row r="360" spans="4:36" ht="12.75"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</row>
    <row r="361" spans="4:36" ht="12.75"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</row>
    <row r="362" spans="4:36" ht="12.75"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</row>
    <row r="363" spans="4:36" ht="12.75"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</row>
    <row r="364" spans="4:36" ht="12.75"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</row>
    <row r="365" spans="4:36" ht="12.75"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</row>
    <row r="366" spans="4:36" ht="12.75"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</row>
    <row r="367" spans="4:36" ht="12.75"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</row>
    <row r="368" spans="4:36" ht="12.75"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</row>
    <row r="369" spans="4:36" ht="12.75"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</row>
    <row r="370" spans="4:36" ht="12.75"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</row>
    <row r="371" spans="4:36" ht="12.75"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</row>
    <row r="372" spans="4:36" ht="12.75"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</row>
    <row r="373" spans="4:36" ht="12.75"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</row>
    <row r="374" spans="4:36" ht="12.75"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</row>
    <row r="375" spans="4:36" ht="12.75"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</row>
    <row r="376" spans="4:36" ht="12.75"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</row>
    <row r="377" spans="4:36" ht="12.75"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</row>
    <row r="378" spans="4:36" ht="12.75"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</row>
    <row r="379" spans="4:36" ht="12.75"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</row>
    <row r="380" spans="4:36" ht="12.75"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</row>
    <row r="381" spans="4:36" ht="12.75"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</row>
    <row r="382" spans="4:36" ht="12.75"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</row>
    <row r="383" spans="4:36" ht="12.75"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</row>
    <row r="384" spans="4:36" ht="12.75"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</row>
    <row r="385" spans="4:36" ht="12.75"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</row>
    <row r="386" spans="4:36" ht="12.75"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</row>
    <row r="387" spans="4:36" ht="12.75"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</row>
    <row r="388" spans="4:36" ht="12.75"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</row>
    <row r="389" spans="4:36" ht="12.75"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</row>
    <row r="390" spans="4:36" ht="12.75"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</row>
    <row r="391" spans="4:36" ht="12.75"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</row>
    <row r="392" spans="4:36" ht="12.75"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</row>
    <row r="393" spans="4:36" ht="12.75"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</row>
    <row r="394" spans="4:36" ht="12.75"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</row>
    <row r="395" spans="4:36" ht="12.75"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</row>
    <row r="396" spans="4:36" ht="12.75"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</row>
    <row r="397" spans="4:36" ht="12.75"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</row>
    <row r="398" spans="4:36" ht="12.75"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</row>
    <row r="399" spans="4:36" ht="12.75"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</row>
    <row r="400" spans="4:36" ht="12.75"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</row>
    <row r="401" spans="4:36" ht="12.75"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</row>
    <row r="402" spans="4:36" ht="12.75"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</row>
    <row r="403" spans="4:36" ht="12.75"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</row>
    <row r="404" spans="4:36" ht="12.75"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</row>
    <row r="405" spans="4:36" ht="12.75"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</row>
    <row r="406" spans="4:36" ht="12.75"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</row>
    <row r="407" spans="4:36" ht="12.75"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</row>
    <row r="408" spans="4:36" ht="12.75"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</row>
    <row r="409" spans="4:36" ht="12.75"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</row>
    <row r="410" spans="4:36" ht="12.75"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</row>
    <row r="411" spans="4:36" ht="12.75"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</row>
    <row r="412" spans="4:36" ht="12.75"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</row>
    <row r="413" spans="4:36" ht="12.75"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</row>
    <row r="414" spans="4:36" ht="12.75"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</row>
    <row r="415" spans="4:36" ht="12.75"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</row>
    <row r="416" spans="4:36" ht="12.75"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</row>
    <row r="417" spans="4:36" ht="12.75"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</row>
    <row r="418" spans="4:36" ht="12.75"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</row>
    <row r="419" spans="4:36" ht="12.75"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</row>
    <row r="420" spans="4:36" ht="12.75"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</row>
    <row r="421" spans="4:36" ht="12.75"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</row>
    <row r="422" spans="4:36" ht="12.75"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</row>
    <row r="423" spans="4:36" ht="12.75"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</row>
    <row r="424" spans="4:36" ht="12.75"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</row>
    <row r="425" spans="4:36" ht="12.75"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</row>
    <row r="426" spans="4:36" ht="12.75"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</row>
    <row r="427" spans="4:36" ht="12.75"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</row>
    <row r="428" spans="4:36" ht="12.75"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</row>
    <row r="429" spans="4:36" ht="12.75"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</row>
    <row r="430" spans="4:36" ht="12.75"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</row>
    <row r="431" spans="4:36" ht="12.75"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</row>
    <row r="432" spans="4:36" ht="12.75"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</row>
    <row r="433" spans="4:36" ht="12.75"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</row>
    <row r="434" spans="4:36" ht="12.75"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</row>
    <row r="435" spans="4:36" ht="12.75"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</row>
    <row r="436" spans="4:36" ht="12.75"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</row>
    <row r="437" spans="4:36" ht="12.75"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</row>
    <row r="438" spans="4:36" ht="12.75"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</row>
  </sheetData>
  <mergeCells count="5">
    <mergeCell ref="A65:M65"/>
    <mergeCell ref="A64:M64"/>
    <mergeCell ref="A1:M1"/>
    <mergeCell ref="A2:M2"/>
    <mergeCell ref="A3:M3"/>
  </mergeCells>
  <printOptions/>
  <pageMargins left="0.4" right="0" top="0.5" bottom="0.25" header="0.5" footer="0.5"/>
  <pageSetup horizontalDpi="600" verticalDpi="6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zoomScale="75" zoomScaleNormal="75" workbookViewId="0" topLeftCell="A1">
      <selection activeCell="K12" sqref="K12"/>
    </sheetView>
  </sheetViews>
  <sheetFormatPr defaultColWidth="9.140625" defaultRowHeight="12.75"/>
  <cols>
    <col min="1" max="1" width="3.140625" style="0" customWidth="1"/>
    <col min="2" max="2" width="2.7109375" style="0" customWidth="1"/>
    <col min="3" max="3" width="13.7109375" style="0" customWidth="1"/>
    <col min="5" max="5" width="12.8515625" style="0" customWidth="1"/>
    <col min="6" max="6" width="10.28125" style="0" customWidth="1"/>
    <col min="7" max="7" width="13.7109375" style="0" customWidth="1"/>
    <col min="8" max="8" width="15.00390625" style="0" bestFit="1" customWidth="1"/>
    <col min="9" max="9" width="2.7109375" style="0" customWidth="1"/>
    <col min="10" max="10" width="15.7109375" style="0" customWidth="1"/>
  </cols>
  <sheetData>
    <row r="1" spans="1:9" ht="15.75">
      <c r="A1" s="122" t="s">
        <v>0</v>
      </c>
      <c r="B1" s="122"/>
      <c r="C1" s="122"/>
      <c r="D1" s="122"/>
      <c r="E1" s="122"/>
      <c r="F1" s="122"/>
      <c r="G1" s="122"/>
      <c r="H1" s="122"/>
      <c r="I1" s="122"/>
    </row>
    <row r="2" spans="1:9" ht="12.75">
      <c r="A2" s="123" t="s">
        <v>25</v>
      </c>
      <c r="B2" s="123"/>
      <c r="C2" s="123"/>
      <c r="D2" s="123"/>
      <c r="E2" s="123"/>
      <c r="F2" s="123"/>
      <c r="G2" s="123"/>
      <c r="H2" s="123"/>
      <c r="I2" s="123"/>
    </row>
    <row r="3" spans="1:9" ht="12.75">
      <c r="A3" s="123" t="s">
        <v>26</v>
      </c>
      <c r="B3" s="123"/>
      <c r="C3" s="123"/>
      <c r="D3" s="123"/>
      <c r="E3" s="123"/>
      <c r="F3" s="123"/>
      <c r="G3" s="123"/>
      <c r="H3" s="123"/>
      <c r="I3" s="123"/>
    </row>
    <row r="4" spans="1:7" ht="12.75">
      <c r="A4" s="39"/>
      <c r="B4" s="39"/>
      <c r="C4" s="39"/>
      <c r="D4" s="39"/>
      <c r="E4" s="39"/>
      <c r="F4" s="39"/>
      <c r="G4" s="39"/>
    </row>
    <row r="5" spans="1:10" ht="13.5" thickBot="1">
      <c r="A5" s="59" t="s">
        <v>179</v>
      </c>
      <c r="B5" s="40"/>
      <c r="C5" s="40"/>
      <c r="D5" s="40"/>
      <c r="E5" s="40"/>
      <c r="F5" s="40"/>
      <c r="G5" s="40"/>
      <c r="H5" s="41"/>
      <c r="I5" s="41"/>
      <c r="J5" s="41"/>
    </row>
    <row r="6" spans="1:7" ht="15.75">
      <c r="A6" s="32"/>
      <c r="B6" s="30"/>
      <c r="C6" s="27"/>
      <c r="D6" s="28"/>
      <c r="E6" s="28"/>
      <c r="F6" s="28"/>
      <c r="G6" s="31"/>
    </row>
    <row r="7" spans="1:7" ht="15.75">
      <c r="A7" s="60" t="s">
        <v>191</v>
      </c>
      <c r="B7" s="30"/>
      <c r="C7" s="27"/>
      <c r="D7" s="28"/>
      <c r="E7" s="28"/>
      <c r="F7" s="28"/>
      <c r="G7" s="31"/>
    </row>
    <row r="8" spans="1:7" ht="15.75">
      <c r="A8" s="60"/>
      <c r="B8" s="30"/>
      <c r="C8" s="27"/>
      <c r="D8" s="28"/>
      <c r="E8" s="28"/>
      <c r="F8" s="28"/>
      <c r="G8" s="31"/>
    </row>
    <row r="9" spans="1:10" ht="15.75">
      <c r="A9" s="60"/>
      <c r="B9" s="30"/>
      <c r="C9" s="27"/>
      <c r="D9" s="28"/>
      <c r="E9" s="28"/>
      <c r="F9" s="28"/>
      <c r="G9" s="31"/>
      <c r="J9" s="23" t="s">
        <v>69</v>
      </c>
    </row>
    <row r="10" spans="1:10" ht="15.75">
      <c r="A10" s="60"/>
      <c r="B10" s="30"/>
      <c r="C10" s="27"/>
      <c r="D10" s="28"/>
      <c r="E10" s="28"/>
      <c r="F10" s="28"/>
      <c r="G10" s="31"/>
      <c r="H10" s="73" t="s">
        <v>220</v>
      </c>
      <c r="I10" s="10"/>
      <c r="J10" s="23" t="s">
        <v>85</v>
      </c>
    </row>
    <row r="11" spans="1:10" ht="15.75">
      <c r="A11" s="60"/>
      <c r="B11" s="30"/>
      <c r="C11" s="27"/>
      <c r="D11" s="28"/>
      <c r="E11" s="28"/>
      <c r="F11" s="28"/>
      <c r="G11" s="31"/>
      <c r="H11" s="23" t="s">
        <v>19</v>
      </c>
      <c r="I11" s="10"/>
      <c r="J11" s="73" t="s">
        <v>192</v>
      </c>
    </row>
    <row r="12" spans="1:10" ht="15.75">
      <c r="A12" s="60"/>
      <c r="B12" s="30"/>
      <c r="C12" s="27"/>
      <c r="D12" s="28"/>
      <c r="E12" s="28"/>
      <c r="F12" s="28"/>
      <c r="G12" s="31"/>
      <c r="H12" s="72" t="s">
        <v>176</v>
      </c>
      <c r="I12" s="2"/>
      <c r="J12" s="70" t="s">
        <v>193</v>
      </c>
    </row>
    <row r="14" spans="8:10" ht="12.75">
      <c r="H14" s="23" t="s">
        <v>8</v>
      </c>
      <c r="J14" s="23" t="s">
        <v>8</v>
      </c>
    </row>
    <row r="15" ht="12.75">
      <c r="A15" s="4" t="s">
        <v>44</v>
      </c>
    </row>
    <row r="16" spans="2:10" ht="12.75">
      <c r="B16" s="54" t="s">
        <v>75</v>
      </c>
      <c r="H16" s="46">
        <f>'[4]cashflow'!$G$8-1</f>
        <v>77347.17415087289</v>
      </c>
      <c r="J16" s="46">
        <v>25077</v>
      </c>
    </row>
    <row r="17" spans="8:10" ht="12.75">
      <c r="H17" s="46"/>
      <c r="J17" s="46"/>
    </row>
    <row r="18" spans="2:10" ht="12.75">
      <c r="B18" s="54" t="s">
        <v>62</v>
      </c>
      <c r="H18" s="46"/>
      <c r="J18" s="46"/>
    </row>
    <row r="19" spans="3:10" ht="12.75">
      <c r="C19" t="s">
        <v>45</v>
      </c>
      <c r="H19" s="46">
        <f>'[4]cashflow'!$I$34</f>
        <v>-32980.48184336149</v>
      </c>
      <c r="J19" s="46">
        <v>2054</v>
      </c>
    </row>
    <row r="20" spans="3:10" ht="12.75">
      <c r="C20" t="s">
        <v>46</v>
      </c>
      <c r="H20" s="46">
        <f>'[4]cashflow'!$G$31</f>
        <v>2933.7653100000007</v>
      </c>
      <c r="J20" s="46">
        <v>2715</v>
      </c>
    </row>
    <row r="21" spans="3:10" ht="12.75">
      <c r="C21" t="s">
        <v>47</v>
      </c>
      <c r="H21" s="46">
        <f>'[4]cashflow'!$G$32</f>
        <v>-4238.644526671</v>
      </c>
      <c r="J21" s="46">
        <v>-4283</v>
      </c>
    </row>
    <row r="22" spans="8:10" ht="12.75">
      <c r="H22" s="52"/>
      <c r="J22" s="52"/>
    </row>
    <row r="23" spans="2:10" ht="12.75">
      <c r="B23" s="54" t="s">
        <v>77</v>
      </c>
      <c r="H23" s="46">
        <f>SUM(H16:H21)</f>
        <v>43061.8130908404</v>
      </c>
      <c r="J23" s="46">
        <f>SUM(J16:J21)</f>
        <v>25563</v>
      </c>
    </row>
    <row r="24" spans="8:10" ht="12.75">
      <c r="H24" s="46"/>
      <c r="J24" s="46"/>
    </row>
    <row r="25" spans="2:10" ht="12.75">
      <c r="B25" t="s">
        <v>48</v>
      </c>
      <c r="H25" s="46"/>
      <c r="J25" s="46"/>
    </row>
    <row r="26" spans="3:10" ht="12.75">
      <c r="C26" t="s">
        <v>49</v>
      </c>
      <c r="H26" s="46">
        <f>SUM('[4]cashflow'!$G$38:$G$43)-2-1</f>
        <v>-201690.80787445657</v>
      </c>
      <c r="J26" s="46">
        <v>-20003</v>
      </c>
    </row>
    <row r="27" spans="3:10" ht="12.75">
      <c r="C27" t="s">
        <v>50</v>
      </c>
      <c r="H27" s="46">
        <f>SUM('[4]cashflow'!$G$44:$G$45)</f>
        <v>111273.900072962</v>
      </c>
      <c r="J27" s="46">
        <v>-9415</v>
      </c>
    </row>
    <row r="28" spans="8:10" ht="12.75">
      <c r="H28" s="52"/>
      <c r="J28" s="52"/>
    </row>
    <row r="29" spans="2:10" ht="12.75">
      <c r="B29" s="14" t="s">
        <v>162</v>
      </c>
      <c r="H29" s="46">
        <f>SUM(H23:H27)</f>
        <v>-47355.09471065416</v>
      </c>
      <c r="J29" s="46">
        <f>SUM(J23:J27)</f>
        <v>-3855</v>
      </c>
    </row>
    <row r="30" spans="8:10" ht="12.75">
      <c r="H30" s="46"/>
      <c r="J30" s="46"/>
    </row>
    <row r="31" spans="2:10" ht="12.75">
      <c r="B31" t="s">
        <v>46</v>
      </c>
      <c r="H31" s="46">
        <f>'[4]cashflow'!$G$50</f>
        <v>-11234.76531</v>
      </c>
      <c r="J31" s="46">
        <f>-11017</f>
        <v>-11017</v>
      </c>
    </row>
    <row r="32" spans="2:10" ht="12.75">
      <c r="B32" t="s">
        <v>47</v>
      </c>
      <c r="H32" s="46">
        <f>'[4]cashflow'!$G$49</f>
        <v>4238.644526671</v>
      </c>
      <c r="J32" s="46">
        <v>4283</v>
      </c>
    </row>
    <row r="33" spans="2:10" ht="12.75">
      <c r="B33" t="s">
        <v>51</v>
      </c>
      <c r="H33" s="46">
        <f>'[4]cashflow'!$G$51</f>
        <v>-310.84870770299966</v>
      </c>
      <c r="J33" s="46">
        <v>-3000</v>
      </c>
    </row>
    <row r="34" spans="8:10" ht="12.75">
      <c r="H34" s="52"/>
      <c r="J34" s="46"/>
    </row>
    <row r="35" spans="2:10" ht="12.75">
      <c r="B35" s="14" t="s">
        <v>163</v>
      </c>
      <c r="H35" s="55">
        <f>SUM(H29:H34)</f>
        <v>-54662.06420168616</v>
      </c>
      <c r="J35" s="55">
        <f>SUM(J29:J34)</f>
        <v>-13589</v>
      </c>
    </row>
    <row r="36" spans="2:10" ht="12.75">
      <c r="B36" s="5" t="s">
        <v>3</v>
      </c>
      <c r="H36" s="46"/>
      <c r="J36" s="46"/>
    </row>
    <row r="37" spans="1:10" ht="12.75">
      <c r="A37" s="4" t="s">
        <v>52</v>
      </c>
      <c r="H37" s="46"/>
      <c r="J37" s="46"/>
    </row>
    <row r="38" spans="1:10" ht="12.75">
      <c r="A38" s="4"/>
      <c r="B38" s="54" t="s">
        <v>200</v>
      </c>
      <c r="H38" s="46"/>
      <c r="J38" s="46"/>
    </row>
    <row r="39" spans="1:10" ht="12.75">
      <c r="A39" s="4"/>
      <c r="B39" s="90" t="s">
        <v>201</v>
      </c>
      <c r="H39" s="46">
        <f>'[4]cashflow'!$G$66</f>
        <v>504.84303</v>
      </c>
      <c r="J39" s="46">
        <v>-2835</v>
      </c>
    </row>
    <row r="40" spans="1:10" ht="12.75">
      <c r="A40" s="4"/>
      <c r="B40" s="90" t="s">
        <v>196</v>
      </c>
      <c r="H40" s="46"/>
      <c r="J40" s="15"/>
    </row>
    <row r="41" spans="1:10" ht="12.75">
      <c r="A41" s="4"/>
      <c r="B41" s="90" t="s">
        <v>197</v>
      </c>
      <c r="H41" s="46">
        <v>0</v>
      </c>
      <c r="J41" s="15">
        <v>-94</v>
      </c>
    </row>
    <row r="42" spans="1:10" ht="12.75">
      <c r="A42" s="4"/>
      <c r="B42" s="119" t="s">
        <v>202</v>
      </c>
      <c r="H42" s="46">
        <f>'[4]cashflow'!$G$67</f>
        <v>-17542.791</v>
      </c>
      <c r="J42" s="15">
        <v>0</v>
      </c>
    </row>
    <row r="43" spans="1:10" ht="12.75">
      <c r="A43" s="4"/>
      <c r="B43" s="90" t="s">
        <v>194</v>
      </c>
      <c r="H43" s="46">
        <f>'[4]cashflow'!$G$60</f>
        <v>-500</v>
      </c>
      <c r="J43" s="15">
        <v>-40</v>
      </c>
    </row>
    <row r="44" spans="1:10" ht="12.75">
      <c r="A44" s="4"/>
      <c r="B44" s="90" t="s">
        <v>198</v>
      </c>
      <c r="H44" s="46"/>
      <c r="J44" s="15"/>
    </row>
    <row r="45" spans="1:10" ht="12.75">
      <c r="A45" s="4"/>
      <c r="B45" s="90" t="s">
        <v>199</v>
      </c>
      <c r="H45" s="46">
        <f>'[4]cashflow'!$G$59</f>
        <v>3000</v>
      </c>
      <c r="J45" s="15">
        <v>0</v>
      </c>
    </row>
    <row r="46" spans="2:10" ht="12.75">
      <c r="B46" t="s">
        <v>53</v>
      </c>
      <c r="H46" s="46">
        <f>'[4]cashflow'!$G$57</f>
        <v>-16864.388585703997</v>
      </c>
      <c r="J46" s="46">
        <v>-4961</v>
      </c>
    </row>
    <row r="47" spans="2:10" ht="12.75">
      <c r="B47" t="s">
        <v>203</v>
      </c>
      <c r="H47" s="46">
        <f>'[4]cashflow'!$G$64</f>
        <v>-6606.513999999999</v>
      </c>
      <c r="J47" s="46">
        <v>-5422</v>
      </c>
    </row>
    <row r="48" spans="2:10" ht="12.75">
      <c r="B48" t="s">
        <v>141</v>
      </c>
      <c r="H48" s="46">
        <v>0</v>
      </c>
      <c r="J48" s="15">
        <v>-10</v>
      </c>
    </row>
    <row r="49" spans="2:10" ht="12.75">
      <c r="B49" t="s">
        <v>54</v>
      </c>
      <c r="H49" s="46">
        <f>'[4]cashflow'!$G$58</f>
        <v>2927.6679246150006</v>
      </c>
      <c r="J49" s="46">
        <v>3433</v>
      </c>
    </row>
    <row r="50" spans="2:10" ht="12.75">
      <c r="B50" s="54" t="s">
        <v>138</v>
      </c>
      <c r="H50" s="46">
        <f>'[4]cashflow'!$G$63</f>
        <v>8220.49965051</v>
      </c>
      <c r="J50" s="46">
        <v>1739</v>
      </c>
    </row>
    <row r="51" spans="2:10" ht="12.75">
      <c r="B51" s="54" t="s">
        <v>140</v>
      </c>
      <c r="H51" s="46">
        <f>'[4]cashflow'!$G$62</f>
        <v>41317.14393</v>
      </c>
      <c r="J51" s="46">
        <v>431</v>
      </c>
    </row>
    <row r="52" spans="2:10" ht="12.75">
      <c r="B52" s="90" t="s">
        <v>195</v>
      </c>
      <c r="H52" s="46">
        <f>'[4]cashflow'!$G$61</f>
        <v>-150.96018999999998</v>
      </c>
      <c r="J52" s="46">
        <v>-18</v>
      </c>
    </row>
    <row r="53" spans="2:10" ht="12.75">
      <c r="B53" s="54" t="s">
        <v>57</v>
      </c>
      <c r="H53" s="46">
        <f>'[4]cashflow'!$G$65</f>
        <v>2336.69869</v>
      </c>
      <c r="J53" s="46">
        <v>2351</v>
      </c>
    </row>
    <row r="54" spans="8:10" ht="12.75">
      <c r="H54" s="46"/>
      <c r="J54" s="46"/>
    </row>
    <row r="55" spans="2:10" ht="12.75">
      <c r="B55" s="14" t="s">
        <v>142</v>
      </c>
      <c r="H55" s="55">
        <f>SUM(H39:H53)</f>
        <v>16642.199449421</v>
      </c>
      <c r="J55" s="55">
        <f>SUM(J38:J54)</f>
        <v>-5426</v>
      </c>
    </row>
    <row r="56" spans="8:10" ht="12.75">
      <c r="H56" s="46"/>
      <c r="J56" s="46"/>
    </row>
    <row r="57" spans="1:10" ht="12.75">
      <c r="A57" s="4" t="s">
        <v>55</v>
      </c>
      <c r="H57" s="46"/>
      <c r="J57" s="46"/>
    </row>
    <row r="58" spans="1:10" ht="12.75">
      <c r="A58" s="4"/>
      <c r="B58" t="s">
        <v>56</v>
      </c>
      <c r="H58" s="46">
        <f>'[4]cashflow'!$G$73</f>
        <v>-26684.421369999996</v>
      </c>
      <c r="J58" s="46">
        <v>13597</v>
      </c>
    </row>
    <row r="59" spans="1:10" ht="12.75">
      <c r="A59" s="4"/>
      <c r="B59" t="s">
        <v>87</v>
      </c>
      <c r="H59" s="46">
        <f>'[4]cashflow'!$G$74</f>
        <v>2194.8471498000017</v>
      </c>
      <c r="J59" s="46">
        <v>-1351</v>
      </c>
    </row>
    <row r="60" spans="1:10" ht="12.75">
      <c r="A60" s="4"/>
      <c r="B60" t="s">
        <v>143</v>
      </c>
      <c r="H60" s="46">
        <f>'[4]cashflow'!$G$78</f>
        <v>-3226</v>
      </c>
      <c r="J60" s="46">
        <v>-70</v>
      </c>
    </row>
    <row r="61" spans="1:10" ht="12.75">
      <c r="A61" s="4"/>
      <c r="B61" t="s">
        <v>80</v>
      </c>
      <c r="H61" s="46">
        <f>'[4]cashflow'!$G$76</f>
        <v>3500</v>
      </c>
      <c r="J61" s="46">
        <v>742</v>
      </c>
    </row>
    <row r="62" spans="2:10" ht="12.75">
      <c r="B62" t="s">
        <v>82</v>
      </c>
      <c r="H62" s="46">
        <f>'[4]cashflow'!$G$77</f>
        <v>-4551.03925915</v>
      </c>
      <c r="J62" s="46">
        <v>-2969</v>
      </c>
    </row>
    <row r="63" spans="2:10" ht="12.75">
      <c r="B63" s="54" t="s">
        <v>83</v>
      </c>
      <c r="H63" s="46">
        <f>'[4]cashflow'!$G$75</f>
        <v>-1920.4464589999998</v>
      </c>
      <c r="J63" s="46">
        <v>-1756</v>
      </c>
    </row>
    <row r="64" spans="2:10" ht="12.75">
      <c r="B64" s="90" t="s">
        <v>186</v>
      </c>
      <c r="H64" s="46">
        <v>0</v>
      </c>
      <c r="J64" s="46">
        <v>-2123</v>
      </c>
    </row>
    <row r="65" spans="2:10" ht="12.75">
      <c r="B65" s="90" t="s">
        <v>139</v>
      </c>
      <c r="H65" s="46">
        <f>'[4]cashflow'!$G$79</f>
        <v>-2588.2025847083</v>
      </c>
      <c r="J65" s="46">
        <v>-1117</v>
      </c>
    </row>
    <row r="66" spans="2:10" ht="12.75">
      <c r="B66" s="90" t="s">
        <v>207</v>
      </c>
      <c r="H66" s="46"/>
      <c r="J66" s="46"/>
    </row>
    <row r="67" spans="2:10" ht="12.75">
      <c r="B67" s="90" t="s">
        <v>199</v>
      </c>
      <c r="H67" s="46">
        <f>'[4]cashflow'!$G$80</f>
        <v>3500.397</v>
      </c>
      <c r="J67" s="46">
        <v>0</v>
      </c>
    </row>
    <row r="68" spans="2:10" ht="12.75">
      <c r="B68" s="90" t="s">
        <v>208</v>
      </c>
      <c r="H68" s="46"/>
      <c r="J68" s="46"/>
    </row>
    <row r="69" spans="2:10" ht="12.75">
      <c r="B69" s="90" t="s">
        <v>204</v>
      </c>
      <c r="H69" s="46">
        <f>'[4]cashflow'!$G$81</f>
        <v>150</v>
      </c>
      <c r="J69" s="46">
        <v>0</v>
      </c>
    </row>
    <row r="70" spans="2:10" ht="12.75">
      <c r="B70" s="90" t="s">
        <v>205</v>
      </c>
      <c r="H70" s="46"/>
      <c r="J70" s="46"/>
    </row>
    <row r="71" spans="2:10" ht="12.75">
      <c r="B71" s="90" t="s">
        <v>206</v>
      </c>
      <c r="H71" s="46">
        <f>'[4]cashflow'!$G$82</f>
        <v>2450</v>
      </c>
      <c r="J71" s="46">
        <v>0</v>
      </c>
    </row>
    <row r="72" spans="8:10" ht="12.75">
      <c r="H72" s="46"/>
      <c r="J72" s="46"/>
    </row>
    <row r="73" spans="2:10" ht="12.75">
      <c r="B73" s="14" t="s">
        <v>144</v>
      </c>
      <c r="H73" s="55">
        <f>SUM(H58:H72)+1</f>
        <v>-27173.86552305829</v>
      </c>
      <c r="J73" s="55">
        <f>SUM(J58:J65)</f>
        <v>4953</v>
      </c>
    </row>
    <row r="74" spans="8:10" ht="12.75">
      <c r="H74" s="46"/>
      <c r="J74" s="46"/>
    </row>
    <row r="75" spans="1:10" ht="12.75">
      <c r="A75" s="14" t="s">
        <v>174</v>
      </c>
      <c r="H75" s="46">
        <f>H35+H55+H73</f>
        <v>-65193.730275323454</v>
      </c>
      <c r="J75" s="46">
        <f>J35+J55+J73</f>
        <v>-14062</v>
      </c>
    </row>
    <row r="76" spans="8:10" ht="12.75">
      <c r="H76" s="46"/>
      <c r="J76" s="46"/>
    </row>
    <row r="77" spans="1:10" ht="12.75">
      <c r="A77" s="14" t="s">
        <v>102</v>
      </c>
      <c r="H77" s="46">
        <f>'[4]cashflow'!$G$91</f>
        <v>112236</v>
      </c>
      <c r="J77" s="46">
        <v>125835</v>
      </c>
    </row>
    <row r="78" spans="1:10" ht="12.75">
      <c r="A78" s="4"/>
      <c r="H78" s="46"/>
      <c r="J78" s="46"/>
    </row>
    <row r="79" spans="1:10" ht="12.75">
      <c r="A79" s="4" t="s">
        <v>58</v>
      </c>
      <c r="H79" s="46">
        <f>'[4]cashflow'!$G$89</f>
        <v>-460.97028205000083</v>
      </c>
      <c r="J79" s="46">
        <v>463</v>
      </c>
    </row>
    <row r="80" spans="1:10" ht="12.75">
      <c r="A80" s="4"/>
      <c r="H80" s="46"/>
      <c r="J80" s="46"/>
    </row>
    <row r="81" spans="1:10" ht="13.5" thickBot="1">
      <c r="A81" s="14" t="s">
        <v>103</v>
      </c>
      <c r="H81" s="53">
        <f>SUM(H75:H79)</f>
        <v>46581.29944262654</v>
      </c>
      <c r="J81" s="53">
        <f>SUM(J75:J79)</f>
        <v>112236</v>
      </c>
    </row>
    <row r="82" ht="12.75">
      <c r="J82" s="46"/>
    </row>
    <row r="83" ht="12.75">
      <c r="J83" s="46"/>
    </row>
    <row r="84" spans="1:10" ht="12.75">
      <c r="A84" s="14" t="s">
        <v>59</v>
      </c>
      <c r="J84" s="46"/>
    </row>
    <row r="85" ht="12.75">
      <c r="J85" s="46"/>
    </row>
    <row r="86" spans="2:10" ht="12.75">
      <c r="B86" s="14" t="s">
        <v>86</v>
      </c>
      <c r="H86" s="46">
        <f>'[4]cashflow'!$G$98-2</f>
        <v>-12909</v>
      </c>
      <c r="J86" s="46">
        <f>-1836</f>
        <v>-1836</v>
      </c>
    </row>
    <row r="87" spans="2:10" ht="12.75">
      <c r="B87" s="4" t="s">
        <v>17</v>
      </c>
      <c r="H87" s="46">
        <f>'[4]cashflow'!$G$96-2</f>
        <v>16801.154283087002</v>
      </c>
      <c r="J87" s="46">
        <v>15073</v>
      </c>
    </row>
    <row r="88" spans="2:10" ht="12.75">
      <c r="B88" s="4" t="s">
        <v>60</v>
      </c>
      <c r="H88" s="46">
        <f>'[4]cashflow'!$G$97</f>
        <v>42688.53188373402</v>
      </c>
      <c r="J88" s="46">
        <v>98999</v>
      </c>
    </row>
    <row r="89" spans="8:10" ht="12.75">
      <c r="H89" s="46"/>
      <c r="J89" s="46"/>
    </row>
    <row r="90" spans="8:10" ht="13.5" thickBot="1">
      <c r="H90" s="53">
        <f>SUM(H86:H88)</f>
        <v>46580.68616682102</v>
      </c>
      <c r="J90" s="53">
        <f>SUM(J86:J88)</f>
        <v>112236</v>
      </c>
    </row>
    <row r="91" ht="12.75">
      <c r="H91" s="49"/>
    </row>
    <row r="92" ht="12.75">
      <c r="A92" s="14"/>
    </row>
    <row r="93" spans="1:11" ht="12.75">
      <c r="A93" s="121" t="s">
        <v>115</v>
      </c>
      <c r="B93" s="121"/>
      <c r="C93" s="121"/>
      <c r="D93" s="121"/>
      <c r="E93" s="121"/>
      <c r="F93" s="121"/>
      <c r="G93" s="121"/>
      <c r="H93" s="121"/>
      <c r="I93" s="121"/>
      <c r="J93" s="121"/>
      <c r="K93" s="121"/>
    </row>
    <row r="94" spans="1:11" ht="12.75">
      <c r="A94" s="121" t="s">
        <v>116</v>
      </c>
      <c r="B94" s="121"/>
      <c r="C94" s="121"/>
      <c r="D94" s="121"/>
      <c r="E94" s="121"/>
      <c r="F94" s="121"/>
      <c r="G94" s="121"/>
      <c r="H94" s="121"/>
      <c r="I94" s="121"/>
      <c r="J94" s="121"/>
      <c r="K94" s="121"/>
    </row>
    <row r="95" spans="1:12" ht="12.75">
      <c r="A95" s="121" t="s">
        <v>134</v>
      </c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</row>
  </sheetData>
  <mergeCells count="6">
    <mergeCell ref="A94:K94"/>
    <mergeCell ref="A95:L95"/>
    <mergeCell ref="A1:I1"/>
    <mergeCell ref="A2:I2"/>
    <mergeCell ref="A3:I3"/>
    <mergeCell ref="A93:K93"/>
  </mergeCells>
  <printOptions/>
  <pageMargins left="1.4" right="0.24" top="0.33" bottom="0" header="0.24" footer="0.5"/>
  <pageSetup fitToHeight="1" fitToWidth="1" horizontalDpi="600" verticalDpi="600" orientation="portrait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91"/>
  <sheetViews>
    <sheetView zoomScale="75" zoomScaleNormal="75" workbookViewId="0" topLeftCell="A72">
      <selection activeCell="A85" sqref="A85"/>
    </sheetView>
  </sheetViews>
  <sheetFormatPr defaultColWidth="9.140625" defaultRowHeight="12.75"/>
  <cols>
    <col min="1" max="1" width="28.7109375" style="0" customWidth="1"/>
    <col min="2" max="2" width="12.7109375" style="0" customWidth="1"/>
    <col min="3" max="3" width="3.7109375" style="0" customWidth="1"/>
    <col min="4" max="4" width="18.7109375" style="0" customWidth="1"/>
    <col min="5" max="5" width="1.7109375" style="0" customWidth="1"/>
    <col min="6" max="6" width="28.8515625" style="0" customWidth="1"/>
    <col min="7" max="7" width="1.7109375" style="0" customWidth="1"/>
    <col min="8" max="8" width="18.7109375" style="0" customWidth="1"/>
    <col min="9" max="9" width="1.7109375" style="0" customWidth="1"/>
    <col min="10" max="10" width="21.7109375" style="0" customWidth="1"/>
    <col min="11" max="11" width="14.28125" style="0" customWidth="1"/>
    <col min="12" max="12" width="18.7109375" style="0" customWidth="1"/>
    <col min="13" max="17" width="15.7109375" style="0" customWidth="1"/>
  </cols>
  <sheetData>
    <row r="2" spans="1:10" ht="15.75" customHeight="1">
      <c r="A2" s="128" t="s">
        <v>6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2.75">
      <c r="A3" s="129" t="s">
        <v>25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0" ht="12.75">
      <c r="A4" s="129" t="s">
        <v>26</v>
      </c>
      <c r="B4" s="129"/>
      <c r="C4" s="129"/>
      <c r="D4" s="129"/>
      <c r="E4" s="129"/>
      <c r="F4" s="129"/>
      <c r="G4" s="129"/>
      <c r="H4" s="129"/>
      <c r="I4" s="129"/>
      <c r="J4" s="129"/>
    </row>
    <row r="6" spans="1:10" ht="12.75">
      <c r="A6" s="118" t="s">
        <v>183</v>
      </c>
      <c r="J6" s="120"/>
    </row>
    <row r="7" spans="1:10" ht="12.75">
      <c r="A7" s="36"/>
      <c r="J7" s="120"/>
    </row>
    <row r="8" ht="12.75">
      <c r="A8" s="37"/>
    </row>
    <row r="9" ht="12.75">
      <c r="A9" s="81" t="s">
        <v>73</v>
      </c>
    </row>
    <row r="10" ht="12.75">
      <c r="A10" s="37" t="s">
        <v>27</v>
      </c>
    </row>
    <row r="11" ht="12.75">
      <c r="A11" s="37" t="s">
        <v>28</v>
      </c>
    </row>
    <row r="12" ht="12.75">
      <c r="A12" s="37" t="s">
        <v>29</v>
      </c>
    </row>
    <row r="13" ht="12.75">
      <c r="A13" s="34"/>
    </row>
    <row r="15" spans="1:10" ht="13.5" thickBot="1">
      <c r="A15" s="58" t="s">
        <v>179</v>
      </c>
      <c r="B15" s="22"/>
      <c r="C15" s="22"/>
      <c r="D15" s="22"/>
      <c r="E15" s="22"/>
      <c r="F15" s="22"/>
      <c r="G15" s="22"/>
      <c r="H15" s="35"/>
      <c r="I15" s="35"/>
      <c r="J15" s="22"/>
    </row>
    <row r="16" spans="1:9" ht="12.75">
      <c r="A16" s="4"/>
      <c r="H16" s="4"/>
      <c r="I16" s="4"/>
    </row>
    <row r="17" spans="1:9" ht="12.75">
      <c r="A17" s="29" t="s">
        <v>30</v>
      </c>
      <c r="B17" s="4"/>
      <c r="C17" s="4"/>
      <c r="D17" s="4"/>
      <c r="E17" s="4"/>
      <c r="F17" s="4"/>
      <c r="G17" s="4"/>
      <c r="H17" s="4"/>
      <c r="I17" s="4"/>
    </row>
    <row r="18" spans="1:9" ht="12.75">
      <c r="A18" s="29"/>
      <c r="B18" s="4"/>
      <c r="C18" s="4"/>
      <c r="D18" s="4"/>
      <c r="E18" s="4"/>
      <c r="F18" s="4"/>
      <c r="G18" s="4"/>
      <c r="H18" s="4"/>
      <c r="I18" s="4"/>
    </row>
    <row r="19" spans="1:9" ht="12.75">
      <c r="A19" s="4"/>
      <c r="B19" s="4"/>
      <c r="C19" s="4"/>
      <c r="D19" s="4"/>
      <c r="E19" s="4"/>
      <c r="F19" s="4"/>
      <c r="G19" s="4"/>
      <c r="H19" s="4"/>
      <c r="I19" s="4"/>
    </row>
    <row r="20" spans="1:10" ht="12.75">
      <c r="A20" s="4"/>
      <c r="B20" s="4"/>
      <c r="C20" s="4"/>
      <c r="D20" s="133" t="s">
        <v>61</v>
      </c>
      <c r="E20" s="134"/>
      <c r="F20" s="135"/>
      <c r="G20" s="18"/>
      <c r="H20" s="130" t="s">
        <v>11</v>
      </c>
      <c r="I20" s="131"/>
      <c r="J20" s="132"/>
    </row>
    <row r="21" spans="1:10" ht="12.75">
      <c r="A21" s="4"/>
      <c r="B21" s="4"/>
      <c r="C21" s="4"/>
      <c r="D21" s="16">
        <v>2007</v>
      </c>
      <c r="E21" s="17"/>
      <c r="F21" s="63">
        <v>2006</v>
      </c>
      <c r="G21" s="23"/>
      <c r="H21" s="16">
        <v>2007</v>
      </c>
      <c r="I21" s="17"/>
      <c r="J21" s="63">
        <v>2006</v>
      </c>
    </row>
    <row r="22" spans="1:10" ht="12.75">
      <c r="A22" s="4"/>
      <c r="B22" s="4"/>
      <c r="C22" s="4"/>
      <c r="D22" s="69" t="s">
        <v>68</v>
      </c>
      <c r="E22" s="17"/>
      <c r="F22" s="63" t="s">
        <v>22</v>
      </c>
      <c r="G22" s="23"/>
      <c r="H22" s="16" t="s">
        <v>23</v>
      </c>
      <c r="I22" s="17"/>
      <c r="J22" s="82" t="s">
        <v>74</v>
      </c>
    </row>
    <row r="23" spans="1:10" ht="12.75">
      <c r="A23" s="4"/>
      <c r="B23" s="4"/>
      <c r="C23" s="4"/>
      <c r="D23" s="16" t="s">
        <v>19</v>
      </c>
      <c r="E23" s="17"/>
      <c r="F23" s="63" t="s">
        <v>20</v>
      </c>
      <c r="G23" s="23"/>
      <c r="H23" s="16" t="s">
        <v>19</v>
      </c>
      <c r="I23" s="17"/>
      <c r="J23" s="63" t="s">
        <v>24</v>
      </c>
    </row>
    <row r="24" spans="1:10" ht="12.75">
      <c r="A24" s="4"/>
      <c r="B24" s="4"/>
      <c r="C24" s="4"/>
      <c r="D24" s="62">
        <v>39263</v>
      </c>
      <c r="E24" s="20"/>
      <c r="F24" s="83">
        <v>38898</v>
      </c>
      <c r="G24" s="24"/>
      <c r="H24" s="62">
        <v>39263</v>
      </c>
      <c r="I24" s="68"/>
      <c r="J24" s="64">
        <v>38898</v>
      </c>
    </row>
    <row r="25" spans="1:10" ht="12.75">
      <c r="A25" s="4"/>
      <c r="B25" s="4"/>
      <c r="C25" s="4"/>
      <c r="D25" s="16" t="s">
        <v>8</v>
      </c>
      <c r="E25" s="20"/>
      <c r="F25" s="63" t="s">
        <v>8</v>
      </c>
      <c r="G25" s="23"/>
      <c r="H25" s="16" t="s">
        <v>9</v>
      </c>
      <c r="I25" s="17"/>
      <c r="J25" s="63" t="s">
        <v>9</v>
      </c>
    </row>
    <row r="26" spans="4:10" ht="12.75">
      <c r="D26" s="19"/>
      <c r="E26" s="20"/>
      <c r="F26" s="65"/>
      <c r="H26" s="19"/>
      <c r="I26" s="20"/>
      <c r="J26" s="65"/>
    </row>
    <row r="27" spans="1:18" ht="12.75">
      <c r="A27" s="45" t="s">
        <v>21</v>
      </c>
      <c r="B27" s="46"/>
      <c r="C27" s="46"/>
      <c r="D27" s="93">
        <v>52209</v>
      </c>
      <c r="E27" s="47"/>
      <c r="F27" s="89">
        <f>J27-118082</f>
        <v>45305</v>
      </c>
      <c r="G27" s="46"/>
      <c r="H27" s="93">
        <f>'[2]M-GER95A.XLS'!$U$129</f>
        <v>212185.4524820721</v>
      </c>
      <c r="I27" s="47"/>
      <c r="J27" s="85">
        <v>163387</v>
      </c>
      <c r="K27" s="49"/>
      <c r="P27" s="49"/>
      <c r="Q27" s="49"/>
      <c r="R27" s="49"/>
    </row>
    <row r="28" spans="1:18" ht="12.75">
      <c r="A28" s="45"/>
      <c r="B28" s="46"/>
      <c r="C28" s="46"/>
      <c r="D28" s="93"/>
      <c r="E28" s="47"/>
      <c r="F28" s="89"/>
      <c r="G28" s="46"/>
      <c r="H28" s="93"/>
      <c r="I28" s="47"/>
      <c r="J28" s="48"/>
      <c r="K28" s="49"/>
      <c r="P28" s="49"/>
      <c r="Q28" s="49"/>
      <c r="R28" s="49"/>
    </row>
    <row r="29" spans="1:18" ht="12.75">
      <c r="A29" s="45" t="s">
        <v>108</v>
      </c>
      <c r="B29" s="46"/>
      <c r="C29" s="46"/>
      <c r="D29" s="93">
        <v>-30996</v>
      </c>
      <c r="E29" s="47"/>
      <c r="F29" s="89">
        <f>J29+51098</f>
        <v>-26447</v>
      </c>
      <c r="G29" s="46"/>
      <c r="H29" s="93">
        <f>-'[2]M-GER95A.XLS'!$P$673-'[2]M-GER95A.XLS'!$P$684-3</f>
        <v>-117041.11524427799</v>
      </c>
      <c r="I29" s="47"/>
      <c r="J29" s="48">
        <v>-77545</v>
      </c>
      <c r="K29" s="49"/>
      <c r="P29" s="49"/>
      <c r="Q29" s="49"/>
      <c r="R29" s="49"/>
    </row>
    <row r="30" spans="1:18" ht="12.75">
      <c r="A30" s="45"/>
      <c r="B30" s="46"/>
      <c r="C30" s="46"/>
      <c r="D30" s="93"/>
      <c r="E30" s="47"/>
      <c r="F30" s="89"/>
      <c r="G30" s="46"/>
      <c r="H30" s="93"/>
      <c r="I30" s="47"/>
      <c r="J30" s="48"/>
      <c r="K30" s="49"/>
      <c r="P30" s="49"/>
      <c r="Q30" s="49"/>
      <c r="R30" s="49"/>
    </row>
    <row r="31" spans="1:18" ht="12.75">
      <c r="A31" s="45" t="s">
        <v>109</v>
      </c>
      <c r="B31" s="46"/>
      <c r="C31" s="46"/>
      <c r="D31" s="93">
        <v>-2065</v>
      </c>
      <c r="E31" s="47"/>
      <c r="F31" s="48">
        <f>J31+11604</f>
        <v>-1557</v>
      </c>
      <c r="G31" s="46"/>
      <c r="H31" s="93">
        <f>-'[2]M-GER95A.XLS'!$P$687</f>
        <v>-7810.426492523</v>
      </c>
      <c r="I31" s="47"/>
      <c r="J31" s="48">
        <v>-13161</v>
      </c>
      <c r="K31" s="49"/>
      <c r="P31" s="49"/>
      <c r="Q31" s="49"/>
      <c r="R31" s="49"/>
    </row>
    <row r="32" spans="1:18" ht="12.75">
      <c r="A32" s="45"/>
      <c r="B32" s="46"/>
      <c r="C32" s="46"/>
      <c r="D32" s="93"/>
      <c r="E32" s="47"/>
      <c r="F32" s="48"/>
      <c r="G32" s="46"/>
      <c r="H32" s="93"/>
      <c r="I32" s="47"/>
      <c r="J32" s="48"/>
      <c r="K32" s="49"/>
      <c r="P32" s="49"/>
      <c r="Q32" s="49"/>
      <c r="R32" s="49"/>
    </row>
    <row r="33" spans="1:18" ht="12.75">
      <c r="A33" s="56" t="s">
        <v>110</v>
      </c>
      <c r="B33" s="46"/>
      <c r="C33" s="46"/>
      <c r="D33" s="93">
        <v>-6014</v>
      </c>
      <c r="E33" s="47"/>
      <c r="F33" s="48">
        <f>J33+50983</f>
        <v>-14409</v>
      </c>
      <c r="G33" s="46"/>
      <c r="H33" s="93">
        <f>-'[2]M-GER95A.XLS'!$P$691</f>
        <v>-51034.251764347</v>
      </c>
      <c r="I33" s="47"/>
      <c r="J33" s="48">
        <v>-65392</v>
      </c>
      <c r="K33" s="49"/>
      <c r="P33" s="49"/>
      <c r="Q33" s="49"/>
      <c r="R33" s="49"/>
    </row>
    <row r="34" spans="1:18" ht="12.75">
      <c r="A34" s="56"/>
      <c r="B34" s="46"/>
      <c r="C34" s="46"/>
      <c r="D34" s="93"/>
      <c r="E34" s="47"/>
      <c r="F34" s="48"/>
      <c r="G34" s="46"/>
      <c r="H34" s="93"/>
      <c r="I34" s="47"/>
      <c r="J34" s="48"/>
      <c r="K34" s="49"/>
      <c r="P34" s="49"/>
      <c r="Q34" s="49"/>
      <c r="R34" s="49"/>
    </row>
    <row r="35" spans="1:18" ht="12.75">
      <c r="A35" s="45" t="s">
        <v>224</v>
      </c>
      <c r="D35" s="93">
        <v>6443</v>
      </c>
      <c r="E35" s="47"/>
      <c r="F35" s="48">
        <f>J35-9074</f>
        <v>1309</v>
      </c>
      <c r="G35" s="46"/>
      <c r="H35" s="93">
        <f>'[2]M-GER95A.XLS'!$N$650</f>
        <v>25801.526888826498</v>
      </c>
      <c r="I35" s="47"/>
      <c r="J35" s="48">
        <v>10383</v>
      </c>
      <c r="K35" s="49"/>
      <c r="P35" s="49"/>
      <c r="Q35" s="49"/>
      <c r="R35" s="49"/>
    </row>
    <row r="36" spans="1:18" ht="12.75">
      <c r="A36" s="45"/>
      <c r="B36" s="46"/>
      <c r="C36" s="46"/>
      <c r="D36" s="93"/>
      <c r="E36" s="47"/>
      <c r="F36" s="48"/>
      <c r="G36" s="46"/>
      <c r="H36" s="93"/>
      <c r="I36" s="47"/>
      <c r="J36" s="48"/>
      <c r="K36" s="49"/>
      <c r="P36" s="49"/>
      <c r="Q36" s="49"/>
      <c r="R36" s="49"/>
    </row>
    <row r="37" spans="1:18" ht="12.75">
      <c r="A37" s="45" t="s">
        <v>46</v>
      </c>
      <c r="B37" s="80" t="s">
        <v>63</v>
      </c>
      <c r="C37" s="71"/>
      <c r="D37" s="93">
        <v>-713</v>
      </c>
      <c r="E37" s="47"/>
      <c r="F37" s="48">
        <f>J37+2282</f>
        <v>-433</v>
      </c>
      <c r="G37" s="46"/>
      <c r="H37" s="93">
        <f>-'[2]M-GER95A.XLS'!$P$697</f>
        <v>-2933.7653100000007</v>
      </c>
      <c r="I37" s="47"/>
      <c r="J37" s="48">
        <v>-2715</v>
      </c>
      <c r="K37" s="49"/>
      <c r="P37" s="49"/>
      <c r="Q37" s="49"/>
      <c r="R37" s="49"/>
    </row>
    <row r="38" spans="1:18" ht="12.75">
      <c r="A38" s="45"/>
      <c r="B38" s="80"/>
      <c r="C38" s="71"/>
      <c r="D38" s="93"/>
      <c r="E38" s="47"/>
      <c r="F38" s="48"/>
      <c r="G38" s="46"/>
      <c r="H38" s="93"/>
      <c r="I38" s="47"/>
      <c r="J38" s="48"/>
      <c r="K38" s="49"/>
      <c r="P38" s="49"/>
      <c r="Q38" s="49"/>
      <c r="R38" s="49"/>
    </row>
    <row r="39" spans="1:18" ht="12.75">
      <c r="A39" s="56" t="s">
        <v>136</v>
      </c>
      <c r="B39" s="80" t="s">
        <v>76</v>
      </c>
      <c r="C39" s="71"/>
      <c r="D39" s="93">
        <v>6453</v>
      </c>
      <c r="E39" s="47"/>
      <c r="F39" s="48">
        <f>J39+148</f>
        <v>7404</v>
      </c>
      <c r="G39" s="46"/>
      <c r="H39" s="93">
        <f>'[2]M-GER95A.XLS'!$U$233</f>
        <v>13847.046199999999</v>
      </c>
      <c r="I39" s="47"/>
      <c r="J39" s="85">
        <v>7256</v>
      </c>
      <c r="K39" s="49"/>
      <c r="P39" s="49"/>
      <c r="Q39" s="49"/>
      <c r="R39" s="49"/>
    </row>
    <row r="40" spans="1:18" ht="12.75">
      <c r="A40" s="45"/>
      <c r="B40" s="46"/>
      <c r="C40" s="46"/>
      <c r="D40" s="93"/>
      <c r="E40" s="47"/>
      <c r="F40" s="48"/>
      <c r="G40" s="46"/>
      <c r="H40" s="93"/>
      <c r="I40" s="47"/>
      <c r="J40" s="48"/>
      <c r="K40" s="49"/>
      <c r="P40" s="49"/>
      <c r="Q40" s="49"/>
      <c r="R40" s="49"/>
    </row>
    <row r="41" spans="1:18" ht="12.75">
      <c r="A41" s="56" t="s">
        <v>169</v>
      </c>
      <c r="B41" s="46"/>
      <c r="C41" s="46"/>
      <c r="D41" s="93"/>
      <c r="E41" s="47"/>
      <c r="F41" s="48"/>
      <c r="G41" s="46"/>
      <c r="H41" s="93"/>
      <c r="I41" s="47"/>
      <c r="J41" s="48"/>
      <c r="K41" s="49"/>
      <c r="P41" s="49"/>
      <c r="Q41" s="49"/>
      <c r="R41" s="49"/>
    </row>
    <row r="42" spans="1:18" ht="12.75">
      <c r="A42" s="56" t="s">
        <v>170</v>
      </c>
      <c r="B42" s="46"/>
      <c r="C42" s="46"/>
      <c r="D42" s="94">
        <v>1813</v>
      </c>
      <c r="E42" s="47"/>
      <c r="F42" s="51">
        <f>J42-1354</f>
        <v>1510</v>
      </c>
      <c r="G42" s="46"/>
      <c r="H42" s="94">
        <f>'[2]M-GER95A.XLS'!$U$234</f>
        <v>4332.493329699999</v>
      </c>
      <c r="I42" s="47"/>
      <c r="J42" s="51">
        <v>2864</v>
      </c>
      <c r="K42" s="49"/>
      <c r="P42" s="49"/>
      <c r="Q42" s="49"/>
      <c r="R42" s="49"/>
    </row>
    <row r="43" spans="1:18" ht="12.75">
      <c r="A43" s="45"/>
      <c r="B43" s="46"/>
      <c r="C43" s="46"/>
      <c r="D43" s="93"/>
      <c r="E43" s="47"/>
      <c r="F43" s="48"/>
      <c r="G43" s="46"/>
      <c r="H43" s="93"/>
      <c r="I43" s="47"/>
      <c r="J43" s="48"/>
      <c r="K43" s="49"/>
      <c r="P43" s="49"/>
      <c r="Q43" s="49"/>
      <c r="R43" s="49"/>
    </row>
    <row r="44" spans="1:18" ht="12.75">
      <c r="A44" s="56" t="s">
        <v>75</v>
      </c>
      <c r="B44" s="80" t="s">
        <v>104</v>
      </c>
      <c r="C44" s="46"/>
      <c r="D44" s="93">
        <f>SUM(D27:D42)</f>
        <v>27130</v>
      </c>
      <c r="E44" s="47"/>
      <c r="F44" s="48">
        <f>SUM(F27:F42)</f>
        <v>12682</v>
      </c>
      <c r="G44" s="46"/>
      <c r="H44" s="93">
        <f>SUM(H27:H42)</f>
        <v>77346.96008945063</v>
      </c>
      <c r="I44" s="47"/>
      <c r="J44" s="48">
        <f>SUM(J27:J42)</f>
        <v>25077</v>
      </c>
      <c r="K44" s="49"/>
      <c r="P44" s="49"/>
      <c r="Q44" s="49"/>
      <c r="R44" s="49"/>
    </row>
    <row r="45" spans="1:18" ht="12.75">
      <c r="A45" s="45"/>
      <c r="B45" s="46"/>
      <c r="C45" s="46"/>
      <c r="D45" s="93"/>
      <c r="E45" s="47"/>
      <c r="F45" s="48"/>
      <c r="G45" s="46"/>
      <c r="H45" s="93"/>
      <c r="I45" s="47"/>
      <c r="J45" s="48"/>
      <c r="K45" s="49"/>
      <c r="P45" s="49"/>
      <c r="Q45" s="49"/>
      <c r="R45" s="49"/>
    </row>
    <row r="46" spans="1:18" ht="12.75">
      <c r="A46" s="45" t="s">
        <v>7</v>
      </c>
      <c r="B46" s="46"/>
      <c r="C46" s="46"/>
      <c r="D46" s="94">
        <v>1113</v>
      </c>
      <c r="E46" s="47"/>
      <c r="F46" s="51">
        <f>J46+1719</f>
        <v>-527</v>
      </c>
      <c r="G46" s="46"/>
      <c r="H46" s="94">
        <f>'[2]M-GER95A.XLS'!$U$236</f>
        <v>-1377.0571249899995</v>
      </c>
      <c r="I46" s="47"/>
      <c r="J46" s="51">
        <v>-2246</v>
      </c>
      <c r="K46" s="49"/>
      <c r="P46" s="49"/>
      <c r="Q46" s="49"/>
      <c r="R46" s="49"/>
    </row>
    <row r="47" spans="1:18" ht="12.75">
      <c r="A47" s="45"/>
      <c r="B47" s="46"/>
      <c r="C47" s="46"/>
      <c r="D47" s="93"/>
      <c r="E47" s="47"/>
      <c r="F47" s="48"/>
      <c r="G47" s="46"/>
      <c r="H47" s="93"/>
      <c r="I47" s="47"/>
      <c r="J47" s="48"/>
      <c r="K47" s="49"/>
      <c r="P47" s="49"/>
      <c r="Q47" s="49"/>
      <c r="R47" s="49"/>
    </row>
    <row r="48" spans="1:18" ht="13.5" thickBot="1">
      <c r="A48" s="56" t="s">
        <v>221</v>
      </c>
      <c r="B48" s="46"/>
      <c r="C48" s="46"/>
      <c r="D48" s="109">
        <f>SUM(D44:D46)</f>
        <v>28243</v>
      </c>
      <c r="E48" s="47"/>
      <c r="F48" s="110">
        <f>SUM(F44:F46)</f>
        <v>12155</v>
      </c>
      <c r="G48" s="46"/>
      <c r="H48" s="109">
        <f>SUM(H44:H46)</f>
        <v>75969.90296446063</v>
      </c>
      <c r="I48" s="47"/>
      <c r="J48" s="110">
        <f>SUM(J44:J46)</f>
        <v>22831</v>
      </c>
      <c r="K48" s="49"/>
      <c r="P48" s="49"/>
      <c r="Q48" s="49"/>
      <c r="R48" s="49"/>
    </row>
    <row r="49" spans="1:18" ht="12.75">
      <c r="A49" s="45"/>
      <c r="B49" s="46"/>
      <c r="C49" s="46"/>
      <c r="D49" s="93"/>
      <c r="E49" s="47"/>
      <c r="F49" s="48"/>
      <c r="G49" s="46"/>
      <c r="H49" s="93"/>
      <c r="I49" s="47"/>
      <c r="J49" s="48"/>
      <c r="K49" s="49"/>
      <c r="P49" s="49"/>
      <c r="Q49" s="49"/>
      <c r="R49" s="49"/>
    </row>
    <row r="50" spans="1:18" ht="12.75">
      <c r="A50" s="56" t="s">
        <v>100</v>
      </c>
      <c r="B50" s="46"/>
      <c r="C50" s="46"/>
      <c r="D50" s="93"/>
      <c r="E50" s="47"/>
      <c r="F50" s="48"/>
      <c r="G50" s="46"/>
      <c r="H50" s="93"/>
      <c r="I50" s="47"/>
      <c r="J50" s="48"/>
      <c r="K50" s="49"/>
      <c r="P50" s="49"/>
      <c r="Q50" s="49"/>
      <c r="R50" s="49"/>
    </row>
    <row r="51" spans="1:18" ht="12.75">
      <c r="A51" s="56" t="s">
        <v>229</v>
      </c>
      <c r="B51" s="46"/>
      <c r="C51" s="46"/>
      <c r="D51" s="93">
        <v>27748</v>
      </c>
      <c r="E51" s="47"/>
      <c r="F51" s="48">
        <f>J51-9220</f>
        <v>11914</v>
      </c>
      <c r="G51" s="46"/>
      <c r="H51" s="93">
        <f>'[2]M-GER95A.XLS'!$U$242+'[2]M-GER95A.XLS'!$U$244+1</f>
        <v>74374.07541653646</v>
      </c>
      <c r="I51" s="47"/>
      <c r="J51" s="48">
        <v>21134</v>
      </c>
      <c r="K51" s="49"/>
      <c r="P51" s="49"/>
      <c r="Q51" s="49"/>
      <c r="R51" s="49"/>
    </row>
    <row r="52" spans="1:18" ht="12.75">
      <c r="A52" s="45" t="s">
        <v>111</v>
      </c>
      <c r="B52" s="46"/>
      <c r="C52" s="46"/>
      <c r="D52" s="93">
        <v>495</v>
      </c>
      <c r="E52" s="47"/>
      <c r="F52" s="48">
        <f>J52-1456</f>
        <v>241</v>
      </c>
      <c r="G52" s="46"/>
      <c r="H52" s="93">
        <f>-'[2]M-GER95A.XLS'!$U$244+'[2]M-GER95A.XLS'!$U$246</f>
        <v>1595.7616172641467</v>
      </c>
      <c r="I52" s="47"/>
      <c r="J52" s="48">
        <v>1697</v>
      </c>
      <c r="K52" s="49"/>
      <c r="P52" s="49"/>
      <c r="Q52" s="49"/>
      <c r="R52" s="49"/>
    </row>
    <row r="53" spans="1:18" ht="12.75">
      <c r="A53" s="45"/>
      <c r="B53" s="46"/>
      <c r="C53" s="46"/>
      <c r="D53" s="93"/>
      <c r="E53" s="47"/>
      <c r="F53" s="48"/>
      <c r="G53" s="46"/>
      <c r="H53" s="93"/>
      <c r="I53" s="47"/>
      <c r="J53" s="48"/>
      <c r="K53" s="49"/>
      <c r="P53" s="49"/>
      <c r="Q53" s="49"/>
      <c r="R53" s="49"/>
    </row>
    <row r="54" spans="1:18" ht="13.5" thickBot="1">
      <c r="A54" s="56"/>
      <c r="B54" s="46"/>
      <c r="C54" s="46"/>
      <c r="D54" s="95">
        <f>D52+D51</f>
        <v>28243</v>
      </c>
      <c r="E54" s="47"/>
      <c r="F54" s="66">
        <f>SUM(F51:F53)</f>
        <v>12155</v>
      </c>
      <c r="G54" s="46"/>
      <c r="H54" s="95">
        <f>H52+H51</f>
        <v>75969.8370338006</v>
      </c>
      <c r="I54" s="47"/>
      <c r="J54" s="66">
        <f>J52+J51</f>
        <v>22831</v>
      </c>
      <c r="K54" s="49"/>
      <c r="P54" s="49"/>
      <c r="Q54" s="49"/>
      <c r="R54" s="49"/>
    </row>
    <row r="55" spans="1:18" ht="12.75">
      <c r="A55" s="45"/>
      <c r="B55" s="46"/>
      <c r="C55" s="46"/>
      <c r="D55" s="93"/>
      <c r="E55" s="47"/>
      <c r="F55" s="48"/>
      <c r="G55" s="46"/>
      <c r="H55" s="93"/>
      <c r="I55" s="47"/>
      <c r="J55" s="48"/>
      <c r="P55" s="49"/>
      <c r="Q55" s="49"/>
      <c r="R55" s="49"/>
    </row>
    <row r="56" spans="1:18" ht="12.75">
      <c r="A56" s="56" t="s">
        <v>101</v>
      </c>
      <c r="B56" s="46"/>
      <c r="C56" s="46"/>
      <c r="D56" s="93"/>
      <c r="E56" s="47"/>
      <c r="F56" s="48"/>
      <c r="G56" s="46"/>
      <c r="H56" s="93"/>
      <c r="I56" s="47"/>
      <c r="J56" s="67"/>
      <c r="K56" s="49"/>
      <c r="P56" s="49"/>
      <c r="Q56" s="49"/>
      <c r="R56" s="49"/>
    </row>
    <row r="57" spans="1:18" ht="12.75">
      <c r="A57" s="50" t="s">
        <v>31</v>
      </c>
      <c r="B57" s="46"/>
      <c r="C57" s="46"/>
      <c r="D57" s="98">
        <v>4.62</v>
      </c>
      <c r="E57" s="47"/>
      <c r="F57" s="87">
        <f>J57-1.52</f>
        <v>1.9700000000000002</v>
      </c>
      <c r="G57" s="46"/>
      <c r="H57" s="96">
        <f>'[3]June07'!$C$46</f>
        <v>12.367074995764774</v>
      </c>
      <c r="I57" s="47"/>
      <c r="J57" s="114">
        <v>3.49</v>
      </c>
      <c r="K57" s="49"/>
      <c r="P57" s="49"/>
      <c r="Q57" s="49"/>
      <c r="R57" s="49"/>
    </row>
    <row r="58" spans="1:18" ht="12.75">
      <c r="A58" s="50" t="s">
        <v>32</v>
      </c>
      <c r="B58" s="46"/>
      <c r="C58" s="46"/>
      <c r="D58" s="98">
        <v>3.94</v>
      </c>
      <c r="E58" s="47"/>
      <c r="F58" s="87">
        <f>J58-1.3</f>
        <v>1.68</v>
      </c>
      <c r="G58" s="46"/>
      <c r="H58" s="96">
        <f>'[3]June07'!$C$58</f>
        <v>10.547165109739275</v>
      </c>
      <c r="I58" s="47"/>
      <c r="J58" s="67">
        <v>2.98</v>
      </c>
      <c r="K58" s="49"/>
      <c r="P58" s="49"/>
      <c r="Q58" s="49"/>
      <c r="R58" s="49"/>
    </row>
    <row r="59" spans="1:18" ht="12.75">
      <c r="A59" s="45"/>
      <c r="B59" s="46"/>
      <c r="C59" s="46"/>
      <c r="D59" s="94"/>
      <c r="E59" s="52"/>
      <c r="F59" s="51"/>
      <c r="G59" s="46"/>
      <c r="H59" s="94"/>
      <c r="I59" s="52"/>
      <c r="J59" s="51"/>
      <c r="K59" s="49"/>
      <c r="P59" s="49"/>
      <c r="Q59" s="49"/>
      <c r="R59" s="49"/>
    </row>
    <row r="60" spans="1:18" ht="12.75">
      <c r="A60" s="45"/>
      <c r="B60" s="46"/>
      <c r="C60" s="46"/>
      <c r="D60" s="46"/>
      <c r="E60" s="46"/>
      <c r="F60" s="46"/>
      <c r="G60" s="46"/>
      <c r="H60" s="46"/>
      <c r="I60" s="46"/>
      <c r="J60" s="46"/>
      <c r="K60" s="49"/>
      <c r="P60" s="49"/>
      <c r="Q60" s="49"/>
      <c r="R60" s="49"/>
    </row>
    <row r="61" spans="1:18" ht="12.75">
      <c r="A61" s="45"/>
      <c r="B61" s="46"/>
      <c r="C61" s="46"/>
      <c r="D61" s="46"/>
      <c r="E61" s="46"/>
      <c r="F61" s="46"/>
      <c r="G61" s="46"/>
      <c r="H61" s="46"/>
      <c r="I61" s="46"/>
      <c r="J61" s="46"/>
      <c r="K61" s="49"/>
      <c r="P61" s="49"/>
      <c r="Q61" s="49"/>
      <c r="R61" s="49"/>
    </row>
    <row r="62" spans="1:18" ht="12.75">
      <c r="A62" s="45"/>
      <c r="B62" s="46"/>
      <c r="C62" s="46"/>
      <c r="D62" s="46"/>
      <c r="E62" s="46"/>
      <c r="F62" s="46"/>
      <c r="G62" s="46"/>
      <c r="H62" s="46"/>
      <c r="I62" s="46"/>
      <c r="J62" s="46"/>
      <c r="K62" s="49"/>
      <c r="P62" s="49"/>
      <c r="Q62" s="49"/>
      <c r="R62" s="49"/>
    </row>
    <row r="63" spans="1:18" ht="12.75">
      <c r="A63" s="56" t="s">
        <v>67</v>
      </c>
      <c r="B63" s="46"/>
      <c r="C63" s="46"/>
      <c r="D63" s="46"/>
      <c r="E63" s="46"/>
      <c r="F63" s="46"/>
      <c r="G63" s="46"/>
      <c r="H63" s="46"/>
      <c r="I63" s="46"/>
      <c r="J63" s="46"/>
      <c r="K63" s="49"/>
      <c r="P63" s="49"/>
      <c r="Q63" s="49"/>
      <c r="R63" s="49"/>
    </row>
    <row r="64" spans="1:18" ht="12.75">
      <c r="A64" s="57" t="s">
        <v>211</v>
      </c>
      <c r="B64" s="46"/>
      <c r="C64" s="46"/>
      <c r="D64" s="46"/>
      <c r="E64" s="46"/>
      <c r="F64" s="46"/>
      <c r="G64" s="46"/>
      <c r="H64" s="46"/>
      <c r="I64" s="46"/>
      <c r="J64" s="46"/>
      <c r="K64" s="49"/>
      <c r="L64" s="113"/>
      <c r="M64" s="113"/>
      <c r="O64" s="49"/>
      <c r="P64" s="49"/>
      <c r="Q64" s="49"/>
      <c r="R64" s="49"/>
    </row>
    <row r="65" spans="1:18" ht="12.75">
      <c r="A65" s="57" t="s">
        <v>209</v>
      </c>
      <c r="B65" s="46"/>
      <c r="C65" s="46"/>
      <c r="D65" s="46"/>
      <c r="E65" s="46"/>
      <c r="F65" s="46"/>
      <c r="G65" s="46"/>
      <c r="H65" s="46"/>
      <c r="I65" s="46"/>
      <c r="J65" s="46"/>
      <c r="K65" s="49"/>
      <c r="L65" s="113"/>
      <c r="M65" s="113"/>
      <c r="O65" s="49"/>
      <c r="P65" s="49"/>
      <c r="Q65" s="49"/>
      <c r="R65" s="49"/>
    </row>
    <row r="66" spans="1:18" ht="12.75">
      <c r="A66" s="57" t="s">
        <v>210</v>
      </c>
      <c r="B66" s="46"/>
      <c r="C66" s="46"/>
      <c r="D66" s="46"/>
      <c r="E66" s="46"/>
      <c r="F66" s="46"/>
      <c r="G66" s="46"/>
      <c r="H66" s="46"/>
      <c r="I66" s="46"/>
      <c r="J66" s="46"/>
      <c r="K66" s="49"/>
      <c r="L66" s="113"/>
      <c r="M66" s="113"/>
      <c r="O66" s="49"/>
      <c r="P66" s="49"/>
      <c r="Q66" s="49"/>
      <c r="R66" s="49"/>
    </row>
    <row r="67" spans="1:18" ht="12.75">
      <c r="A67" s="45"/>
      <c r="B67" s="46"/>
      <c r="C67" s="46"/>
      <c r="D67" s="46"/>
      <c r="E67" s="46"/>
      <c r="F67" s="46"/>
      <c r="G67" s="46"/>
      <c r="H67" s="46"/>
      <c r="I67" s="46"/>
      <c r="J67" s="46"/>
      <c r="K67" s="49"/>
      <c r="L67" s="113"/>
      <c r="M67" s="113"/>
      <c r="O67" s="49"/>
      <c r="P67" s="49"/>
      <c r="Q67" s="49"/>
      <c r="R67" s="49"/>
    </row>
    <row r="68" spans="1:18" ht="12.75">
      <c r="A68" s="56" t="s">
        <v>70</v>
      </c>
      <c r="B68" s="46"/>
      <c r="C68" s="46"/>
      <c r="D68" s="46"/>
      <c r="E68" s="46"/>
      <c r="F68" s="46"/>
      <c r="G68" s="46"/>
      <c r="H68" s="46"/>
      <c r="I68" s="46"/>
      <c r="J68" s="46"/>
      <c r="K68" s="49"/>
      <c r="L68" s="113"/>
      <c r="O68" s="49"/>
      <c r="P68" s="49"/>
      <c r="Q68" s="49"/>
      <c r="R68" s="49"/>
    </row>
    <row r="69" spans="1:18" ht="12.75">
      <c r="A69" s="57" t="s">
        <v>137</v>
      </c>
      <c r="B69" s="46"/>
      <c r="C69" s="46"/>
      <c r="D69" s="86" t="s">
        <v>81</v>
      </c>
      <c r="F69" s="86" t="s">
        <v>81</v>
      </c>
      <c r="G69" s="46"/>
      <c r="H69" s="77" t="s">
        <v>212</v>
      </c>
      <c r="I69" s="76"/>
      <c r="J69" s="77" t="s">
        <v>212</v>
      </c>
      <c r="K69" s="49"/>
      <c r="L69" s="113"/>
      <c r="O69" s="49"/>
      <c r="P69" s="49"/>
      <c r="Q69" s="49"/>
      <c r="R69" s="49"/>
    </row>
    <row r="70" spans="1:18" ht="12.75">
      <c r="A70" s="45"/>
      <c r="B70" s="46"/>
      <c r="C70" s="46"/>
      <c r="D70" s="78" t="s">
        <v>176</v>
      </c>
      <c r="E70" s="74"/>
      <c r="F70" s="79" t="s">
        <v>193</v>
      </c>
      <c r="G70" s="46"/>
      <c r="H70" s="78" t="str">
        <f>D70</f>
        <v>30/6/2007</v>
      </c>
      <c r="I70" s="74"/>
      <c r="J70" s="79" t="str">
        <f>F70</f>
        <v>30/6/2006</v>
      </c>
      <c r="K70" s="49"/>
      <c r="L70" s="113"/>
      <c r="O70" s="49"/>
      <c r="P70" s="49"/>
      <c r="Q70" s="49"/>
      <c r="R70" s="49"/>
    </row>
    <row r="71" spans="1:18" ht="12.75">
      <c r="A71" s="45"/>
      <c r="B71" s="46"/>
      <c r="C71" s="46"/>
      <c r="D71" s="61" t="s">
        <v>8</v>
      </c>
      <c r="E71" s="46"/>
      <c r="F71" s="61" t="s">
        <v>8</v>
      </c>
      <c r="G71" s="46"/>
      <c r="H71" s="61" t="s">
        <v>8</v>
      </c>
      <c r="I71" s="46"/>
      <c r="J71" s="61" t="s">
        <v>8</v>
      </c>
      <c r="K71" s="49"/>
      <c r="L71" s="113"/>
      <c r="O71" s="49"/>
      <c r="P71" s="49"/>
      <c r="Q71" s="49"/>
      <c r="R71" s="49"/>
    </row>
    <row r="72" spans="1:18" ht="12.75">
      <c r="A72" s="57"/>
      <c r="B72" s="46"/>
      <c r="C72" s="46"/>
      <c r="D72" s="49"/>
      <c r="F72" s="49"/>
      <c r="G72" s="46"/>
      <c r="H72" s="49"/>
      <c r="I72" s="46"/>
      <c r="J72" s="61"/>
      <c r="K72" s="49"/>
      <c r="L72" s="113"/>
      <c r="O72" s="49"/>
      <c r="P72" s="49"/>
      <c r="Q72" s="49"/>
      <c r="R72" s="49"/>
    </row>
    <row r="73" spans="1:18" ht="12.75">
      <c r="A73" s="99" t="s">
        <v>216</v>
      </c>
      <c r="B73" s="46"/>
      <c r="C73" s="46"/>
      <c r="D73" s="49">
        <f>H73</f>
        <v>1397</v>
      </c>
      <c r="F73" s="49">
        <v>0</v>
      </c>
      <c r="G73" s="46"/>
      <c r="H73" s="49">
        <f>'[2]MRDIV'!$Y$113</f>
        <v>1397</v>
      </c>
      <c r="I73" s="46"/>
      <c r="J73" s="61">
        <v>0</v>
      </c>
      <c r="K73" s="49"/>
      <c r="L73" s="113"/>
      <c r="O73" s="49"/>
      <c r="P73" s="49"/>
      <c r="Q73" s="49"/>
      <c r="R73" s="49"/>
    </row>
    <row r="74" spans="1:18" ht="12.75">
      <c r="A74" s="99" t="s">
        <v>217</v>
      </c>
      <c r="B74" s="46"/>
      <c r="C74" s="46"/>
      <c r="D74" s="49">
        <f>H74</f>
        <v>2703.96</v>
      </c>
      <c r="F74" s="49">
        <v>0</v>
      </c>
      <c r="G74" s="46"/>
      <c r="H74" s="49">
        <f>'[2]MRDIV'!$AA$113</f>
        <v>2703.96</v>
      </c>
      <c r="I74" s="46"/>
      <c r="J74" s="61">
        <v>0</v>
      </c>
      <c r="K74" s="49"/>
      <c r="L74" s="113"/>
      <c r="O74" s="49"/>
      <c r="P74" s="49"/>
      <c r="Q74" s="49"/>
      <c r="R74" s="49"/>
    </row>
    <row r="75" spans="1:18" ht="12.75">
      <c r="A75" s="57" t="s">
        <v>226</v>
      </c>
      <c r="B75" s="46"/>
      <c r="C75" s="46"/>
      <c r="D75" s="49"/>
      <c r="F75" s="49"/>
      <c r="G75" s="46"/>
      <c r="H75" s="49"/>
      <c r="I75" s="46"/>
      <c r="J75" s="61"/>
      <c r="K75" s="49"/>
      <c r="L75" s="113"/>
      <c r="O75" s="49"/>
      <c r="P75" s="49"/>
      <c r="Q75" s="49"/>
      <c r="R75" s="49"/>
    </row>
    <row r="76" spans="1:18" ht="12.75">
      <c r="A76" s="57" t="s">
        <v>117</v>
      </c>
      <c r="B76" s="46"/>
      <c r="C76" s="46"/>
      <c r="D76" s="46">
        <f>H76-7394</f>
        <v>-2261.5978265600006</v>
      </c>
      <c r="F76" s="46">
        <f>J76</f>
        <v>8048</v>
      </c>
      <c r="H76" s="116">
        <f>'[2]MRDIV'!$Z$113</f>
        <v>5132.402173439999</v>
      </c>
      <c r="J76" s="46">
        <v>8048</v>
      </c>
      <c r="K76" s="84"/>
      <c r="L76" s="113"/>
      <c r="O76" s="49"/>
      <c r="P76" s="49"/>
      <c r="Q76" s="49"/>
      <c r="R76" s="49"/>
    </row>
    <row r="77" spans="1:18" ht="12.75">
      <c r="A77" s="57" t="s">
        <v>213</v>
      </c>
      <c r="B77" s="46"/>
      <c r="C77" s="46"/>
      <c r="D77" s="46">
        <f>H77</f>
        <v>4614.219650509999</v>
      </c>
      <c r="F77" s="47">
        <v>0</v>
      </c>
      <c r="H77" s="46">
        <f>'[2]MRDIV'!$AB$113-1</f>
        <v>4614.219650509999</v>
      </c>
      <c r="J77">
        <v>371</v>
      </c>
      <c r="K77" s="84"/>
      <c r="L77" s="113"/>
      <c r="O77" s="49"/>
      <c r="P77" s="49"/>
      <c r="Q77" s="49"/>
      <c r="R77" s="49"/>
    </row>
    <row r="78" spans="1:18" ht="12.75">
      <c r="A78" s="99" t="s">
        <v>214</v>
      </c>
      <c r="B78" s="46"/>
      <c r="C78" s="46"/>
      <c r="D78" s="46"/>
      <c r="F78" s="47"/>
      <c r="H78" s="46"/>
      <c r="K78" s="84"/>
      <c r="L78" s="113"/>
      <c r="O78" s="49"/>
      <c r="P78" s="49"/>
      <c r="Q78" s="49"/>
      <c r="R78" s="49"/>
    </row>
    <row r="79" spans="1:18" ht="12.75">
      <c r="A79" s="99" t="s">
        <v>215</v>
      </c>
      <c r="B79" s="46"/>
      <c r="C79" s="46"/>
      <c r="D79" s="46">
        <v>0</v>
      </c>
      <c r="F79" s="47">
        <f>J79</f>
        <v>-644</v>
      </c>
      <c r="H79" s="46">
        <v>0</v>
      </c>
      <c r="J79" s="1">
        <v>-644</v>
      </c>
      <c r="K79" s="84"/>
      <c r="L79" s="113"/>
      <c r="O79" s="49"/>
      <c r="P79" s="49"/>
      <c r="Q79" s="49"/>
      <c r="R79" s="49"/>
    </row>
    <row r="80" spans="1:18" ht="12.75">
      <c r="A80" s="99" t="s">
        <v>135</v>
      </c>
      <c r="B80" s="46"/>
      <c r="C80" s="46"/>
      <c r="D80" s="52">
        <v>0</v>
      </c>
      <c r="F80" s="52">
        <v>0</v>
      </c>
      <c r="G80" s="20"/>
      <c r="H80" s="52">
        <v>0</v>
      </c>
      <c r="I80" s="47"/>
      <c r="J80" s="117">
        <v>-519</v>
      </c>
      <c r="K80" s="84"/>
      <c r="L80" s="113"/>
      <c r="O80" s="49"/>
      <c r="P80" s="49"/>
      <c r="Q80" s="49"/>
      <c r="R80" s="49"/>
    </row>
    <row r="81" spans="1:18" ht="12.75">
      <c r="A81" s="99"/>
      <c r="B81" s="46"/>
      <c r="C81" s="46"/>
      <c r="D81" s="47"/>
      <c r="F81" s="115"/>
      <c r="G81" s="20"/>
      <c r="H81" s="47"/>
      <c r="I81" s="47"/>
      <c r="J81" s="115"/>
      <c r="K81" s="84"/>
      <c r="L81" s="113"/>
      <c r="O81" s="49"/>
      <c r="P81" s="49"/>
      <c r="Q81" s="49"/>
      <c r="R81" s="49"/>
    </row>
    <row r="82" spans="1:18" ht="13.5" thickBot="1">
      <c r="A82" s="45"/>
      <c r="B82" s="46"/>
      <c r="C82" s="46"/>
      <c r="D82" s="91">
        <f>SUM(D73:D80)-1</f>
        <v>6452.581823949999</v>
      </c>
      <c r="F82" s="111">
        <f>SUM(F73:F80)</f>
        <v>7404</v>
      </c>
      <c r="G82" s="20"/>
      <c r="H82" s="88">
        <f>SUM(H73:H80)-1</f>
        <v>13846.58182395</v>
      </c>
      <c r="I82" s="47"/>
      <c r="J82" s="111">
        <f>SUM(J76:J80)</f>
        <v>7256</v>
      </c>
      <c r="K82" s="84"/>
      <c r="L82" s="113"/>
      <c r="O82" s="49"/>
      <c r="P82" s="49"/>
      <c r="Q82" s="49"/>
      <c r="R82" s="49"/>
    </row>
    <row r="83" spans="1:18" ht="13.5" thickTop="1">
      <c r="A83" s="45"/>
      <c r="B83" s="46"/>
      <c r="C83" s="46"/>
      <c r="D83" s="46"/>
      <c r="F83" s="49"/>
      <c r="H83" s="47"/>
      <c r="I83" s="47"/>
      <c r="J83" s="47"/>
      <c r="K83" s="84"/>
      <c r="L83" s="113"/>
      <c r="O83" s="49"/>
      <c r="P83" s="49"/>
      <c r="Q83" s="49"/>
      <c r="R83" s="49"/>
    </row>
    <row r="84" spans="1:18" ht="12.75">
      <c r="A84" s="56" t="s">
        <v>105</v>
      </c>
      <c r="B84" s="46"/>
      <c r="C84" s="46"/>
      <c r="D84" s="46"/>
      <c r="E84" s="46"/>
      <c r="F84" s="46"/>
      <c r="G84" s="46"/>
      <c r="H84" s="46"/>
      <c r="I84" s="46"/>
      <c r="J84" s="46"/>
      <c r="K84" s="49"/>
      <c r="L84" s="113"/>
      <c r="O84" s="49"/>
      <c r="P84" s="49"/>
      <c r="Q84" s="49"/>
      <c r="R84" s="49"/>
    </row>
    <row r="85" spans="1:18" ht="12.75">
      <c r="A85" s="57" t="s">
        <v>218</v>
      </c>
      <c r="B85" s="46"/>
      <c r="C85" s="46"/>
      <c r="D85" s="46"/>
      <c r="E85" s="46"/>
      <c r="F85" s="46"/>
      <c r="G85" s="46"/>
      <c r="H85" s="46"/>
      <c r="I85" s="46"/>
      <c r="J85" s="46"/>
      <c r="K85" s="49"/>
      <c r="L85" s="113"/>
      <c r="O85" s="49"/>
      <c r="P85" s="49"/>
      <c r="Q85" s="49"/>
      <c r="R85" s="49"/>
    </row>
    <row r="86" spans="1:18" ht="12.75">
      <c r="A86" s="57"/>
      <c r="B86" s="46"/>
      <c r="C86" s="46"/>
      <c r="D86" s="46"/>
      <c r="E86" s="46"/>
      <c r="F86" s="46"/>
      <c r="G86" s="46"/>
      <c r="H86" s="46"/>
      <c r="I86" s="46"/>
      <c r="J86" s="46"/>
      <c r="K86" s="49"/>
      <c r="L86" s="49"/>
      <c r="M86" s="49"/>
      <c r="N86" s="49"/>
      <c r="O86" s="49"/>
      <c r="P86" s="49"/>
      <c r="Q86" s="49"/>
      <c r="R86" s="49"/>
    </row>
    <row r="87" spans="1:18" ht="12.75">
      <c r="A87" s="57"/>
      <c r="B87" s="46"/>
      <c r="C87" s="46"/>
      <c r="D87" s="86" t="s">
        <v>81</v>
      </c>
      <c r="F87" s="86" t="s">
        <v>81</v>
      </c>
      <c r="G87" s="46"/>
      <c r="H87" s="77" t="str">
        <f>H69</f>
        <v>Year ended</v>
      </c>
      <c r="I87" s="76"/>
      <c r="J87" s="77" t="str">
        <f>J69</f>
        <v>Year ended</v>
      </c>
      <c r="K87" s="49"/>
      <c r="L87" s="49"/>
      <c r="M87" s="49"/>
      <c r="N87" s="49"/>
      <c r="O87" s="49"/>
      <c r="P87" s="49"/>
      <c r="Q87" s="49"/>
      <c r="R87" s="49"/>
    </row>
    <row r="88" spans="1:18" ht="12.75">
      <c r="A88" s="57"/>
      <c r="B88" s="46"/>
      <c r="C88" s="46"/>
      <c r="D88" s="78" t="str">
        <f>D70</f>
        <v>30/6/2007</v>
      </c>
      <c r="E88" s="74"/>
      <c r="F88" s="79" t="str">
        <f>F70</f>
        <v>30/6/2006</v>
      </c>
      <c r="G88" s="46"/>
      <c r="H88" s="78" t="str">
        <f>D88</f>
        <v>30/6/2007</v>
      </c>
      <c r="I88" s="74"/>
      <c r="J88" s="79" t="str">
        <f>F88</f>
        <v>30/6/2006</v>
      </c>
      <c r="K88" s="49"/>
      <c r="L88" s="49"/>
      <c r="M88" s="49"/>
      <c r="N88" s="49"/>
      <c r="O88" s="49"/>
      <c r="P88" s="49"/>
      <c r="Q88" s="49"/>
      <c r="R88" s="49"/>
    </row>
    <row r="89" spans="1:18" ht="12.75">
      <c r="A89" s="57"/>
      <c r="B89" s="46"/>
      <c r="C89" s="46"/>
      <c r="D89" s="61" t="s">
        <v>8</v>
      </c>
      <c r="E89" s="46"/>
      <c r="F89" s="61" t="s">
        <v>8</v>
      </c>
      <c r="G89" s="46"/>
      <c r="H89" s="61" t="s">
        <v>8</v>
      </c>
      <c r="I89" s="46"/>
      <c r="J89" s="61" t="s">
        <v>8</v>
      </c>
      <c r="K89" s="49"/>
      <c r="L89" s="49"/>
      <c r="M89" s="49"/>
      <c r="N89" s="49"/>
      <c r="O89" s="49"/>
      <c r="P89" s="49"/>
      <c r="Q89" s="49"/>
      <c r="R89" s="49"/>
    </row>
    <row r="90" spans="1:18" ht="12.75">
      <c r="A90" s="57"/>
      <c r="B90" s="46"/>
      <c r="C90" s="46"/>
      <c r="G90" s="46"/>
      <c r="H90" s="61"/>
      <c r="I90" s="46"/>
      <c r="J90" s="61"/>
      <c r="K90" s="49"/>
      <c r="L90" s="49"/>
      <c r="M90" s="49"/>
      <c r="N90" s="49"/>
      <c r="O90" s="49"/>
      <c r="P90" s="49"/>
      <c r="Q90" s="49"/>
      <c r="R90" s="49"/>
    </row>
    <row r="91" spans="1:18" ht="12.75">
      <c r="A91" s="57" t="s">
        <v>161</v>
      </c>
      <c r="B91" s="46"/>
      <c r="C91" s="46"/>
      <c r="K91" s="49"/>
      <c r="L91" s="49"/>
      <c r="M91" s="49"/>
      <c r="N91" s="49"/>
      <c r="O91" s="49"/>
      <c r="P91" s="49"/>
      <c r="Q91" s="49"/>
      <c r="R91" s="49"/>
    </row>
    <row r="92" spans="1:18" ht="12.75">
      <c r="A92" s="57" t="s">
        <v>160</v>
      </c>
      <c r="B92" s="46"/>
      <c r="C92" s="46"/>
      <c r="D92" s="46">
        <f>H92-6959</f>
        <v>2924.5329999999994</v>
      </c>
      <c r="F92" s="46">
        <f>J92+1887</f>
        <v>-287</v>
      </c>
      <c r="G92" s="46"/>
      <c r="H92" s="46">
        <f>'[2]M-GER95A.XLS'!$N$632</f>
        <v>9883.533</v>
      </c>
      <c r="I92" s="46"/>
      <c r="J92" s="46">
        <f>-2294+120</f>
        <v>-2174</v>
      </c>
      <c r="K92" s="49"/>
      <c r="L92" s="49"/>
      <c r="M92" s="49"/>
      <c r="N92" s="49"/>
      <c r="O92" s="49"/>
      <c r="P92" s="49"/>
      <c r="Q92" s="49"/>
      <c r="R92" s="49"/>
    </row>
    <row r="93" spans="1:18" ht="12.75">
      <c r="A93" s="57" t="s">
        <v>219</v>
      </c>
      <c r="B93" s="46"/>
      <c r="C93" s="46"/>
      <c r="D93" s="46">
        <f>H93-11417</f>
        <v>1223.8305899999978</v>
      </c>
      <c r="F93" s="15">
        <f>J93-212</f>
        <v>404.65578000000005</v>
      </c>
      <c r="G93" s="46"/>
      <c r="H93" s="15">
        <f>'[6]MS trades'!$H$15</f>
        <v>12640.830589999998</v>
      </c>
      <c r="I93" s="46"/>
      <c r="J93" s="15">
        <f>'[6]MS trades'!$N$15</f>
        <v>616.65578</v>
      </c>
      <c r="K93" s="49"/>
      <c r="L93" s="49"/>
      <c r="M93" s="49"/>
      <c r="N93" s="49"/>
      <c r="O93" s="49"/>
      <c r="P93" s="49"/>
      <c r="Q93" s="49"/>
      <c r="R93" s="49"/>
    </row>
    <row r="94" spans="1:18" ht="12.75">
      <c r="A94" s="57" t="s">
        <v>171</v>
      </c>
      <c r="B94" s="46"/>
      <c r="C94" s="46"/>
      <c r="K94" s="49"/>
      <c r="L94" s="49"/>
      <c r="M94" s="49"/>
      <c r="N94" s="49"/>
      <c r="O94" s="49"/>
      <c r="P94" s="49"/>
      <c r="Q94" s="49"/>
      <c r="R94" s="49"/>
    </row>
    <row r="95" spans="1:18" ht="13.5" thickBot="1">
      <c r="A95" s="57" t="s">
        <v>172</v>
      </c>
      <c r="B95" s="46"/>
      <c r="C95" s="46"/>
      <c r="D95" s="92">
        <f>H95-354</f>
        <v>557.6887852799998</v>
      </c>
      <c r="F95" s="92">
        <f>J95+1307</f>
        <v>502.7127680000001</v>
      </c>
      <c r="G95" s="46"/>
      <c r="H95" s="92">
        <f>-'[7]forex2007'!$I$51/1000</f>
        <v>911.6887852799998</v>
      </c>
      <c r="J95" s="92">
        <f>-'[5]forex2006'!$I$52/1000</f>
        <v>-804.2872319999999</v>
      </c>
      <c r="K95" s="49"/>
      <c r="L95" s="49"/>
      <c r="M95" s="49"/>
      <c r="N95" s="49"/>
      <c r="O95" s="49"/>
      <c r="P95" s="49"/>
      <c r="Q95" s="49"/>
      <c r="R95" s="49"/>
    </row>
    <row r="96" spans="1:18" ht="13.5" thickTop="1">
      <c r="A96" s="99"/>
      <c r="K96" s="49"/>
      <c r="L96" s="49"/>
      <c r="M96" s="49"/>
      <c r="N96" s="49"/>
      <c r="O96" s="49"/>
      <c r="P96" s="49"/>
      <c r="Q96" s="49"/>
      <c r="R96" s="49"/>
    </row>
    <row r="97" spans="7:18" ht="12.75">
      <c r="G97" s="46"/>
      <c r="H97" s="46"/>
      <c r="I97" s="46"/>
      <c r="J97" s="46"/>
      <c r="K97" s="49"/>
      <c r="L97" s="49"/>
      <c r="M97" s="49"/>
      <c r="N97" s="49"/>
      <c r="O97" s="49"/>
      <c r="P97" s="49"/>
      <c r="Q97" s="49"/>
      <c r="R97" s="49"/>
    </row>
    <row r="98" spans="1:18" ht="12.75">
      <c r="A98" s="45"/>
      <c r="B98" s="46"/>
      <c r="C98" s="46"/>
      <c r="D98" s="46"/>
      <c r="E98" s="46"/>
      <c r="F98" s="46"/>
      <c r="G98" s="46"/>
      <c r="H98" s="46"/>
      <c r="I98" s="46"/>
      <c r="J98" s="46"/>
      <c r="K98" s="49"/>
      <c r="L98" s="49"/>
      <c r="M98" s="49"/>
      <c r="N98" s="49"/>
      <c r="O98" s="49"/>
      <c r="P98" s="49"/>
      <c r="Q98" s="49"/>
      <c r="R98" s="49"/>
    </row>
    <row r="99" spans="1:18" ht="12.75">
      <c r="A99" s="136" t="s">
        <v>121</v>
      </c>
      <c r="B99" s="136"/>
      <c r="C99" s="136"/>
      <c r="D99" s="136"/>
      <c r="E99" s="136"/>
      <c r="F99" s="136"/>
      <c r="G99" s="136"/>
      <c r="H99" s="136"/>
      <c r="I99" s="136"/>
      <c r="J99" s="136"/>
      <c r="K99" s="49"/>
      <c r="L99" s="49"/>
      <c r="M99" s="49"/>
      <c r="N99" s="49"/>
      <c r="O99" s="49"/>
      <c r="P99" s="49"/>
      <c r="Q99" s="49"/>
      <c r="R99" s="49"/>
    </row>
    <row r="100" spans="1:18" ht="12.75">
      <c r="A100" s="121" t="s">
        <v>122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L100" s="49"/>
      <c r="M100" s="49"/>
      <c r="N100" s="49"/>
      <c r="O100" s="49"/>
      <c r="P100" s="49"/>
      <c r="Q100" s="49"/>
      <c r="R100" s="49"/>
    </row>
    <row r="101" spans="1:18" ht="12.75">
      <c r="A101" s="126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49"/>
      <c r="M101" s="49"/>
      <c r="N101" s="49"/>
      <c r="O101" s="49"/>
      <c r="P101" s="49"/>
      <c r="Q101" s="49"/>
      <c r="R101" s="49"/>
    </row>
    <row r="102" spans="1:18" ht="12.7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9"/>
      <c r="L102" s="49"/>
      <c r="M102" s="49"/>
      <c r="N102" s="49"/>
      <c r="O102" s="49"/>
      <c r="P102" s="49"/>
      <c r="Q102" s="49"/>
      <c r="R102" s="49"/>
    </row>
    <row r="103" spans="1:18" ht="12.7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9"/>
      <c r="L103" s="49"/>
      <c r="M103" s="49"/>
      <c r="N103" s="49"/>
      <c r="O103" s="49"/>
      <c r="P103" s="49"/>
      <c r="Q103" s="49"/>
      <c r="R103" s="49"/>
    </row>
    <row r="104" spans="1:18" ht="12.7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9"/>
      <c r="L104" s="49"/>
      <c r="M104" s="49"/>
      <c r="N104" s="49"/>
      <c r="O104" s="49"/>
      <c r="P104" s="49"/>
      <c r="Q104" s="49"/>
      <c r="R104" s="49"/>
    </row>
    <row r="105" spans="1:18" ht="12.7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9"/>
      <c r="L105" s="49"/>
      <c r="M105" s="49"/>
      <c r="N105" s="49"/>
      <c r="O105" s="49"/>
      <c r="P105" s="49"/>
      <c r="Q105" s="49"/>
      <c r="R105" s="49"/>
    </row>
    <row r="106" spans="1:18" ht="12.7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9"/>
      <c r="L106" s="49"/>
      <c r="M106" s="49"/>
      <c r="N106" s="49"/>
      <c r="O106" s="49"/>
      <c r="P106" s="49"/>
      <c r="Q106" s="49"/>
      <c r="R106" s="49"/>
    </row>
    <row r="107" spans="1:18" ht="12.7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9"/>
      <c r="L107" s="49"/>
      <c r="M107" s="49"/>
      <c r="N107" s="49"/>
      <c r="O107" s="49"/>
      <c r="P107" s="49"/>
      <c r="Q107" s="49"/>
      <c r="R107" s="49"/>
    </row>
    <row r="108" spans="1:18" ht="12.7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9"/>
      <c r="L108" s="49"/>
      <c r="M108" s="49"/>
      <c r="N108" s="49"/>
      <c r="O108" s="49"/>
      <c r="P108" s="49"/>
      <c r="Q108" s="49"/>
      <c r="R108" s="49"/>
    </row>
    <row r="109" spans="1:18" ht="12.7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9"/>
      <c r="L109" s="49"/>
      <c r="M109" s="49"/>
      <c r="N109" s="49"/>
      <c r="O109" s="49"/>
      <c r="P109" s="49"/>
      <c r="Q109" s="49"/>
      <c r="R109" s="49"/>
    </row>
    <row r="110" spans="1:18" ht="12.7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9"/>
      <c r="L110" s="49"/>
      <c r="M110" s="49"/>
      <c r="N110" s="49"/>
      <c r="O110" s="49"/>
      <c r="P110" s="49"/>
      <c r="Q110" s="49"/>
      <c r="R110" s="49"/>
    </row>
    <row r="111" spans="1:18" ht="12.7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9"/>
      <c r="L111" s="49"/>
      <c r="M111" s="49"/>
      <c r="N111" s="49"/>
      <c r="O111" s="49"/>
      <c r="P111" s="49"/>
      <c r="Q111" s="49"/>
      <c r="R111" s="49"/>
    </row>
    <row r="112" spans="1:18" ht="12.7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9"/>
      <c r="L112" s="49"/>
      <c r="M112" s="49"/>
      <c r="N112" s="49"/>
      <c r="O112" s="49"/>
      <c r="P112" s="49"/>
      <c r="Q112" s="49"/>
      <c r="R112" s="49"/>
    </row>
    <row r="113" spans="1:18" ht="12.7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9"/>
      <c r="L113" s="49"/>
      <c r="M113" s="49"/>
      <c r="N113" s="49"/>
      <c r="O113" s="49"/>
      <c r="P113" s="49"/>
      <c r="Q113" s="49"/>
      <c r="R113" s="49"/>
    </row>
    <row r="114" spans="1:18" ht="12.7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9"/>
      <c r="L114" s="49"/>
      <c r="M114" s="49"/>
      <c r="N114" s="49"/>
      <c r="O114" s="49"/>
      <c r="P114" s="49"/>
      <c r="Q114" s="49"/>
      <c r="R114" s="49"/>
    </row>
    <row r="115" spans="1:18" ht="12.7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9"/>
      <c r="L115" s="49"/>
      <c r="M115" s="49"/>
      <c r="N115" s="49"/>
      <c r="O115" s="49"/>
      <c r="P115" s="49"/>
      <c r="Q115" s="49"/>
      <c r="R115" s="49"/>
    </row>
    <row r="116" spans="1:18" ht="12.7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9"/>
      <c r="L116" s="49"/>
      <c r="M116" s="49"/>
      <c r="N116" s="49"/>
      <c r="O116" s="49"/>
      <c r="P116" s="49"/>
      <c r="Q116" s="49"/>
      <c r="R116" s="49"/>
    </row>
    <row r="117" spans="1:18" ht="12.7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9"/>
      <c r="L117" s="49"/>
      <c r="M117" s="49"/>
      <c r="N117" s="49"/>
      <c r="O117" s="49"/>
      <c r="P117" s="49"/>
      <c r="Q117" s="49"/>
      <c r="R117" s="49"/>
    </row>
    <row r="118" spans="1:18" ht="12.7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9"/>
      <c r="L118" s="49"/>
      <c r="M118" s="49"/>
      <c r="N118" s="49"/>
      <c r="O118" s="49"/>
      <c r="P118" s="49"/>
      <c r="Q118" s="49"/>
      <c r="R118" s="49"/>
    </row>
    <row r="119" spans="1:18" ht="12.7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9"/>
      <c r="L119" s="49"/>
      <c r="M119" s="49"/>
      <c r="N119" s="49"/>
      <c r="O119" s="49"/>
      <c r="P119" s="49"/>
      <c r="Q119" s="49"/>
      <c r="R119" s="49"/>
    </row>
    <row r="120" spans="1:18" ht="12.7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9"/>
      <c r="L120" s="49"/>
      <c r="M120" s="49"/>
      <c r="N120" s="49"/>
      <c r="O120" s="49"/>
      <c r="P120" s="49"/>
      <c r="Q120" s="49"/>
      <c r="R120" s="49"/>
    </row>
    <row r="121" spans="1:18" ht="12.7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9"/>
      <c r="L121" s="49"/>
      <c r="M121" s="49"/>
      <c r="N121" s="49"/>
      <c r="O121" s="49"/>
      <c r="P121" s="49"/>
      <c r="Q121" s="49"/>
      <c r="R121" s="49"/>
    </row>
    <row r="122" spans="1:18" ht="12.7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9"/>
      <c r="L122" s="49"/>
      <c r="M122" s="49"/>
      <c r="N122" s="49"/>
      <c r="O122" s="49"/>
      <c r="P122" s="49"/>
      <c r="Q122" s="49"/>
      <c r="R122" s="49"/>
    </row>
    <row r="123" spans="1:18" ht="12.7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9"/>
      <c r="L123" s="49"/>
      <c r="M123" s="49"/>
      <c r="N123" s="49"/>
      <c r="O123" s="49"/>
      <c r="P123" s="49"/>
      <c r="Q123" s="49"/>
      <c r="R123" s="49"/>
    </row>
    <row r="124" spans="1:18" ht="12.7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9"/>
      <c r="L124" s="49"/>
      <c r="M124" s="49"/>
      <c r="N124" s="49"/>
      <c r="O124" s="49"/>
      <c r="P124" s="49"/>
      <c r="Q124" s="49"/>
      <c r="R124" s="49"/>
    </row>
    <row r="125" spans="1:18" ht="12.7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9"/>
      <c r="L125" s="49"/>
      <c r="M125" s="49"/>
      <c r="N125" s="49"/>
      <c r="O125" s="49"/>
      <c r="P125" s="49"/>
      <c r="Q125" s="49"/>
      <c r="R125" s="49"/>
    </row>
    <row r="126" spans="1:18" ht="12.7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9"/>
      <c r="L126" s="49"/>
      <c r="M126" s="49"/>
      <c r="N126" s="49"/>
      <c r="O126" s="49"/>
      <c r="P126" s="49"/>
      <c r="Q126" s="49"/>
      <c r="R126" s="49"/>
    </row>
    <row r="127" spans="1:18" ht="12.7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9"/>
      <c r="L127" s="49"/>
      <c r="M127" s="49"/>
      <c r="N127" s="49"/>
      <c r="O127" s="49"/>
      <c r="P127" s="49"/>
      <c r="Q127" s="49"/>
      <c r="R127" s="49"/>
    </row>
    <row r="128" spans="1:18" ht="12.7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9"/>
      <c r="L128" s="49"/>
      <c r="M128" s="49"/>
      <c r="N128" s="49"/>
      <c r="O128" s="49"/>
      <c r="P128" s="49"/>
      <c r="Q128" s="49"/>
      <c r="R128" s="49"/>
    </row>
    <row r="129" spans="1:18" ht="12.7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9"/>
      <c r="L129" s="49"/>
      <c r="M129" s="49"/>
      <c r="N129" s="49"/>
      <c r="O129" s="49"/>
      <c r="P129" s="49"/>
      <c r="Q129" s="49"/>
      <c r="R129" s="49"/>
    </row>
    <row r="130" spans="1:18" ht="12.7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9"/>
      <c r="L130" s="49"/>
      <c r="M130" s="49"/>
      <c r="N130" s="49"/>
      <c r="O130" s="49"/>
      <c r="P130" s="49"/>
      <c r="Q130" s="49"/>
      <c r="R130" s="49"/>
    </row>
    <row r="131" spans="1:18" ht="12.7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9"/>
      <c r="L131" s="49"/>
      <c r="M131" s="49"/>
      <c r="N131" s="49"/>
      <c r="O131" s="49"/>
      <c r="P131" s="49"/>
      <c r="Q131" s="49"/>
      <c r="R131" s="49"/>
    </row>
    <row r="132" spans="1:18" ht="12.7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9"/>
      <c r="L132" s="49"/>
      <c r="M132" s="49"/>
      <c r="N132" s="49"/>
      <c r="O132" s="49"/>
      <c r="P132" s="49"/>
      <c r="Q132" s="49"/>
      <c r="R132" s="49"/>
    </row>
    <row r="133" spans="1:18" ht="12.7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9"/>
      <c r="L133" s="49"/>
      <c r="M133" s="49"/>
      <c r="N133" s="49"/>
      <c r="O133" s="49"/>
      <c r="P133" s="49"/>
      <c r="Q133" s="49"/>
      <c r="R133" s="49"/>
    </row>
    <row r="134" spans="1:18" ht="12.7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9"/>
      <c r="L134" s="49"/>
      <c r="M134" s="49"/>
      <c r="N134" s="49"/>
      <c r="O134" s="49"/>
      <c r="P134" s="49"/>
      <c r="Q134" s="49"/>
      <c r="R134" s="49"/>
    </row>
    <row r="135" spans="1:18" ht="12.7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9"/>
      <c r="L135" s="49"/>
      <c r="M135" s="49"/>
      <c r="N135" s="49"/>
      <c r="O135" s="49"/>
      <c r="P135" s="49"/>
      <c r="Q135" s="49"/>
      <c r="R135" s="49"/>
    </row>
    <row r="136" spans="1:18" ht="12.7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9"/>
      <c r="L136" s="49"/>
      <c r="M136" s="49"/>
      <c r="N136" s="49"/>
      <c r="O136" s="49"/>
      <c r="P136" s="49"/>
      <c r="Q136" s="49"/>
      <c r="R136" s="49"/>
    </row>
    <row r="137" spans="1:18" ht="12.7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9"/>
      <c r="L137" s="49"/>
      <c r="M137" s="49"/>
      <c r="N137" s="49"/>
      <c r="O137" s="49"/>
      <c r="P137" s="49"/>
      <c r="Q137" s="49"/>
      <c r="R137" s="49"/>
    </row>
    <row r="138" spans="1:18" ht="12.7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9"/>
      <c r="L138" s="49"/>
      <c r="M138" s="49"/>
      <c r="N138" s="49"/>
      <c r="O138" s="49"/>
      <c r="P138" s="49"/>
      <c r="Q138" s="49"/>
      <c r="R138" s="49"/>
    </row>
    <row r="139" spans="1:18" ht="12.7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9"/>
      <c r="L139" s="49"/>
      <c r="M139" s="49"/>
      <c r="N139" s="49"/>
      <c r="O139" s="49"/>
      <c r="P139" s="49"/>
      <c r="Q139" s="49"/>
      <c r="R139" s="49"/>
    </row>
    <row r="140" spans="1:18" ht="12.7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9"/>
      <c r="L140" s="49"/>
      <c r="M140" s="49"/>
      <c r="N140" s="49"/>
      <c r="O140" s="49"/>
      <c r="P140" s="49"/>
      <c r="Q140" s="49"/>
      <c r="R140" s="49"/>
    </row>
    <row r="141" spans="1:18" ht="12.7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9"/>
      <c r="L141" s="49"/>
      <c r="M141" s="49"/>
      <c r="N141" s="49"/>
      <c r="O141" s="49"/>
      <c r="P141" s="49"/>
      <c r="Q141" s="49"/>
      <c r="R141" s="49"/>
    </row>
    <row r="142" spans="1:18" ht="12.7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9"/>
      <c r="L142" s="49"/>
      <c r="M142" s="49"/>
      <c r="N142" s="49"/>
      <c r="O142" s="49"/>
      <c r="P142" s="49"/>
      <c r="Q142" s="49"/>
      <c r="R142" s="49"/>
    </row>
    <row r="143" spans="1:18" ht="12.7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9"/>
      <c r="L143" s="49"/>
      <c r="M143" s="49"/>
      <c r="N143" s="49"/>
      <c r="O143" s="49"/>
      <c r="P143" s="49"/>
      <c r="Q143" s="49"/>
      <c r="R143" s="49"/>
    </row>
    <row r="144" spans="1:18" ht="12.7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9"/>
      <c r="L144" s="49"/>
      <c r="M144" s="49"/>
      <c r="N144" s="49"/>
      <c r="O144" s="49"/>
      <c r="P144" s="49"/>
      <c r="Q144" s="49"/>
      <c r="R144" s="49"/>
    </row>
    <row r="145" spans="1:18" ht="12.7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9"/>
      <c r="L145" s="49"/>
      <c r="M145" s="49"/>
      <c r="N145" s="49"/>
      <c r="O145" s="49"/>
      <c r="P145" s="49"/>
      <c r="Q145" s="49"/>
      <c r="R145" s="49"/>
    </row>
    <row r="146" spans="1:18" ht="12.7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9"/>
      <c r="L146" s="49"/>
      <c r="M146" s="49"/>
      <c r="N146" s="49"/>
      <c r="O146" s="49"/>
      <c r="P146" s="49"/>
      <c r="Q146" s="49"/>
      <c r="R146" s="49"/>
    </row>
    <row r="147" spans="1:18" ht="12.7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9"/>
      <c r="L147" s="49"/>
      <c r="M147" s="49"/>
      <c r="N147" s="49"/>
      <c r="O147" s="49"/>
      <c r="P147" s="49"/>
      <c r="Q147" s="49"/>
      <c r="R147" s="49"/>
    </row>
    <row r="148" spans="1:18" ht="12.7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9"/>
      <c r="L148" s="49"/>
      <c r="M148" s="49"/>
      <c r="N148" s="49"/>
      <c r="O148" s="49"/>
      <c r="P148" s="49"/>
      <c r="Q148" s="49"/>
      <c r="R148" s="49"/>
    </row>
    <row r="149" spans="1:18" ht="12.7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9"/>
      <c r="L149" s="49"/>
      <c r="M149" s="49"/>
      <c r="N149" s="49"/>
      <c r="O149" s="49"/>
      <c r="P149" s="49"/>
      <c r="Q149" s="49"/>
      <c r="R149" s="49"/>
    </row>
    <row r="150" spans="1:18" ht="12.7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9"/>
      <c r="L150" s="49"/>
      <c r="M150" s="49"/>
      <c r="N150" s="49"/>
      <c r="O150" s="49"/>
      <c r="P150" s="49"/>
      <c r="Q150" s="49"/>
      <c r="R150" s="49"/>
    </row>
    <row r="151" spans="1:18" ht="12.7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9"/>
      <c r="L151" s="49"/>
      <c r="M151" s="49"/>
      <c r="N151" s="49"/>
      <c r="O151" s="49"/>
      <c r="P151" s="49"/>
      <c r="Q151" s="49"/>
      <c r="R151" s="49"/>
    </row>
    <row r="152" spans="1:18" ht="12.7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9"/>
      <c r="L152" s="49"/>
      <c r="M152" s="49"/>
      <c r="N152" s="49"/>
      <c r="O152" s="49"/>
      <c r="P152" s="49"/>
      <c r="Q152" s="49"/>
      <c r="R152" s="49"/>
    </row>
    <row r="153" spans="1:18" ht="12.7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9"/>
      <c r="L153" s="49"/>
      <c r="M153" s="49"/>
      <c r="N153" s="49"/>
      <c r="O153" s="49"/>
      <c r="P153" s="49"/>
      <c r="Q153" s="49"/>
      <c r="R153" s="49"/>
    </row>
    <row r="154" spans="1:18" ht="12.7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9"/>
      <c r="L154" s="49"/>
      <c r="M154" s="49"/>
      <c r="N154" s="49"/>
      <c r="O154" s="49"/>
      <c r="P154" s="49"/>
      <c r="Q154" s="49"/>
      <c r="R154" s="49"/>
    </row>
    <row r="155" spans="1:18" ht="12.7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9"/>
      <c r="L155" s="49"/>
      <c r="M155" s="49"/>
      <c r="N155" s="49"/>
      <c r="O155" s="49"/>
      <c r="P155" s="49"/>
      <c r="Q155" s="49"/>
      <c r="R155" s="49"/>
    </row>
    <row r="156" spans="1:18" ht="12.7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9"/>
      <c r="L156" s="49"/>
      <c r="M156" s="49"/>
      <c r="N156" s="49"/>
      <c r="O156" s="49"/>
      <c r="P156" s="49"/>
      <c r="Q156" s="49"/>
      <c r="R156" s="49"/>
    </row>
    <row r="157" spans="1:18" ht="12.7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9"/>
      <c r="L157" s="49"/>
      <c r="M157" s="49"/>
      <c r="N157" s="49"/>
      <c r="O157" s="49"/>
      <c r="P157" s="49"/>
      <c r="Q157" s="49"/>
      <c r="R157" s="49"/>
    </row>
    <row r="158" spans="1:18" ht="12.7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9"/>
      <c r="L158" s="49"/>
      <c r="M158" s="49"/>
      <c r="N158" s="49"/>
      <c r="O158" s="49"/>
      <c r="P158" s="49"/>
      <c r="Q158" s="49"/>
      <c r="R158" s="49"/>
    </row>
    <row r="159" spans="1:18" ht="12.7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9"/>
      <c r="L159" s="49"/>
      <c r="M159" s="49"/>
      <c r="N159" s="49"/>
      <c r="O159" s="49"/>
      <c r="P159" s="49"/>
      <c r="Q159" s="49"/>
      <c r="R159" s="49"/>
    </row>
    <row r="160" spans="1:18" ht="12.7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9"/>
      <c r="L160" s="49"/>
      <c r="M160" s="49"/>
      <c r="N160" s="49"/>
      <c r="O160" s="49"/>
      <c r="P160" s="49"/>
      <c r="Q160" s="49"/>
      <c r="R160" s="49"/>
    </row>
    <row r="161" spans="1:18" ht="12.7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9"/>
      <c r="L161" s="49"/>
      <c r="M161" s="49"/>
      <c r="N161" s="49"/>
      <c r="O161" s="49"/>
      <c r="P161" s="49"/>
      <c r="Q161" s="49"/>
      <c r="R161" s="49"/>
    </row>
    <row r="162" spans="1:18" ht="12.7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9"/>
      <c r="L162" s="49"/>
      <c r="M162" s="49"/>
      <c r="N162" s="49"/>
      <c r="O162" s="49"/>
      <c r="P162" s="49"/>
      <c r="Q162" s="49"/>
      <c r="R162" s="49"/>
    </row>
    <row r="163" spans="1:18" ht="12.7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9"/>
      <c r="L163" s="49"/>
      <c r="M163" s="49"/>
      <c r="N163" s="49"/>
      <c r="O163" s="49"/>
      <c r="P163" s="49"/>
      <c r="Q163" s="49"/>
      <c r="R163" s="49"/>
    </row>
    <row r="164" spans="1:18" ht="12.7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9"/>
      <c r="L164" s="49"/>
      <c r="M164" s="49"/>
      <c r="N164" s="49"/>
      <c r="O164" s="49"/>
      <c r="P164" s="49"/>
      <c r="Q164" s="49"/>
      <c r="R164" s="49"/>
    </row>
    <row r="165" spans="1:18" ht="12.7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9"/>
      <c r="L165" s="49"/>
      <c r="M165" s="49"/>
      <c r="N165" s="49"/>
      <c r="O165" s="49"/>
      <c r="P165" s="49"/>
      <c r="Q165" s="49"/>
      <c r="R165" s="49"/>
    </row>
    <row r="166" spans="1:18" ht="12.7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9"/>
      <c r="L166" s="49"/>
      <c r="M166" s="49"/>
      <c r="N166" s="49"/>
      <c r="O166" s="49"/>
      <c r="P166" s="49"/>
      <c r="Q166" s="49"/>
      <c r="R166" s="49"/>
    </row>
    <row r="167" spans="1:18" ht="12.7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9"/>
      <c r="L167" s="49"/>
      <c r="M167" s="49"/>
      <c r="N167" s="49"/>
      <c r="O167" s="49"/>
      <c r="P167" s="49"/>
      <c r="Q167" s="49"/>
      <c r="R167" s="49"/>
    </row>
    <row r="168" spans="1:18" ht="12.7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9"/>
      <c r="L168" s="49"/>
      <c r="M168" s="49"/>
      <c r="N168" s="49"/>
      <c r="O168" s="49"/>
      <c r="P168" s="49"/>
      <c r="Q168" s="49"/>
      <c r="R168" s="49"/>
    </row>
    <row r="169" spans="1:18" ht="12.7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9"/>
      <c r="L169" s="49"/>
      <c r="M169" s="49"/>
      <c r="N169" s="49"/>
      <c r="O169" s="49"/>
      <c r="P169" s="49"/>
      <c r="Q169" s="49"/>
      <c r="R169" s="49"/>
    </row>
    <row r="170" spans="1:18" ht="12.7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9"/>
      <c r="L170" s="49"/>
      <c r="M170" s="49"/>
      <c r="N170" s="49"/>
      <c r="O170" s="49"/>
      <c r="P170" s="49"/>
      <c r="Q170" s="49"/>
      <c r="R170" s="49"/>
    </row>
    <row r="171" spans="1:18" ht="12.7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9"/>
      <c r="L171" s="49"/>
      <c r="M171" s="49"/>
      <c r="N171" s="49"/>
      <c r="O171" s="49"/>
      <c r="P171" s="49"/>
      <c r="Q171" s="49"/>
      <c r="R171" s="49"/>
    </row>
    <row r="172" spans="1:18" ht="12.7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9"/>
      <c r="L172" s="49"/>
      <c r="M172" s="49"/>
      <c r="N172" s="49"/>
      <c r="O172" s="49"/>
      <c r="P172" s="49"/>
      <c r="Q172" s="49"/>
      <c r="R172" s="49"/>
    </row>
    <row r="173" spans="1:18" ht="12.7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9"/>
      <c r="L173" s="49"/>
      <c r="M173" s="49"/>
      <c r="N173" s="49"/>
      <c r="O173" s="49"/>
      <c r="P173" s="49"/>
      <c r="Q173" s="49"/>
      <c r="R173" s="49"/>
    </row>
    <row r="174" spans="1:18" ht="12.7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9"/>
      <c r="L174" s="49"/>
      <c r="M174" s="49"/>
      <c r="N174" s="49"/>
      <c r="O174" s="49"/>
      <c r="P174" s="49"/>
      <c r="Q174" s="49"/>
      <c r="R174" s="49"/>
    </row>
    <row r="175" spans="1:18" ht="12.7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9"/>
      <c r="L175" s="49"/>
      <c r="M175" s="49"/>
      <c r="N175" s="49"/>
      <c r="O175" s="49"/>
      <c r="P175" s="49"/>
      <c r="Q175" s="49"/>
      <c r="R175" s="49"/>
    </row>
    <row r="176" spans="1:18" ht="12.7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9"/>
      <c r="L176" s="49"/>
      <c r="M176" s="49"/>
      <c r="N176" s="49"/>
      <c r="O176" s="49"/>
      <c r="P176" s="49"/>
      <c r="Q176" s="49"/>
      <c r="R176" s="49"/>
    </row>
    <row r="177" spans="1:18" ht="12.7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9"/>
      <c r="L177" s="49"/>
      <c r="M177" s="49"/>
      <c r="N177" s="49"/>
      <c r="O177" s="49"/>
      <c r="P177" s="49"/>
      <c r="Q177" s="49"/>
      <c r="R177" s="49"/>
    </row>
    <row r="178" spans="1:18" ht="12.7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9"/>
      <c r="L178" s="49"/>
      <c r="M178" s="49"/>
      <c r="N178" s="49"/>
      <c r="O178" s="49"/>
      <c r="P178" s="49"/>
      <c r="Q178" s="49"/>
      <c r="R178" s="49"/>
    </row>
    <row r="179" spans="1:18" ht="12.7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9"/>
      <c r="L179" s="49"/>
      <c r="M179" s="49"/>
      <c r="N179" s="49"/>
      <c r="O179" s="49"/>
      <c r="P179" s="49"/>
      <c r="Q179" s="49"/>
      <c r="R179" s="49"/>
    </row>
    <row r="180" spans="1:18" ht="12.7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9"/>
      <c r="L180" s="49"/>
      <c r="M180" s="49"/>
      <c r="N180" s="49"/>
      <c r="O180" s="49"/>
      <c r="P180" s="49"/>
      <c r="Q180" s="49"/>
      <c r="R180" s="49"/>
    </row>
    <row r="181" spans="1:18" ht="12.7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9"/>
      <c r="L181" s="49"/>
      <c r="M181" s="49"/>
      <c r="N181" s="49"/>
      <c r="O181" s="49"/>
      <c r="P181" s="49"/>
      <c r="Q181" s="49"/>
      <c r="R181" s="49"/>
    </row>
    <row r="182" spans="1:18" ht="12.7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9"/>
      <c r="L182" s="49"/>
      <c r="M182" s="49"/>
      <c r="N182" s="49"/>
      <c r="O182" s="49"/>
      <c r="P182" s="49"/>
      <c r="Q182" s="49"/>
      <c r="R182" s="49"/>
    </row>
    <row r="183" spans="1:18" ht="12.7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9"/>
      <c r="L183" s="49"/>
      <c r="M183" s="49"/>
      <c r="N183" s="49"/>
      <c r="O183" s="49"/>
      <c r="P183" s="49"/>
      <c r="Q183" s="49"/>
      <c r="R183" s="49"/>
    </row>
    <row r="184" spans="1:18" ht="12.7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9"/>
      <c r="L184" s="49"/>
      <c r="M184" s="49"/>
      <c r="N184" s="49"/>
      <c r="O184" s="49"/>
      <c r="P184" s="49"/>
      <c r="Q184" s="49"/>
      <c r="R184" s="49"/>
    </row>
    <row r="185" spans="1:18" ht="12.7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9"/>
      <c r="L185" s="49"/>
      <c r="M185" s="49"/>
      <c r="N185" s="49"/>
      <c r="O185" s="49"/>
      <c r="P185" s="49"/>
      <c r="Q185" s="49"/>
      <c r="R185" s="49"/>
    </row>
    <row r="186" spans="1:18" ht="12.7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9"/>
      <c r="L186" s="49"/>
      <c r="M186" s="49"/>
      <c r="N186" s="49"/>
      <c r="O186" s="49"/>
      <c r="P186" s="49"/>
      <c r="Q186" s="49"/>
      <c r="R186" s="49"/>
    </row>
    <row r="187" spans="1:18" ht="12.7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9"/>
      <c r="L187" s="49"/>
      <c r="M187" s="49"/>
      <c r="N187" s="49"/>
      <c r="O187" s="49"/>
      <c r="P187" s="49"/>
      <c r="Q187" s="49"/>
      <c r="R187" s="49"/>
    </row>
    <row r="188" spans="1:18" ht="12.7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9"/>
      <c r="L188" s="49"/>
      <c r="M188" s="49"/>
      <c r="N188" s="49"/>
      <c r="O188" s="49"/>
      <c r="P188" s="49"/>
      <c r="Q188" s="49"/>
      <c r="R188" s="49"/>
    </row>
    <row r="189" spans="1:18" ht="12.7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9"/>
      <c r="L189" s="49"/>
      <c r="M189" s="49"/>
      <c r="N189" s="49"/>
      <c r="O189" s="49"/>
      <c r="P189" s="49"/>
      <c r="Q189" s="49"/>
      <c r="R189" s="49"/>
    </row>
    <row r="190" spans="1:18" ht="12.7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</row>
    <row r="191" spans="1:18" ht="12.7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</row>
    <row r="192" spans="1:18" ht="12.7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</row>
    <row r="193" spans="1:18" ht="12.7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</row>
    <row r="194" spans="1:18" ht="12.7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</row>
    <row r="195" spans="1:18" ht="12.7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</row>
    <row r="196" spans="1:18" ht="12.7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</row>
    <row r="197" spans="1:18" ht="12.7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</row>
    <row r="198" spans="1:18" ht="12.7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</row>
    <row r="199" spans="1:18" ht="12.7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</row>
    <row r="200" spans="1:18" ht="12.7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</row>
    <row r="201" spans="1:18" ht="12.7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</row>
    <row r="202" spans="1:18" ht="12.7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</row>
    <row r="203" spans="1:18" ht="12.7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</row>
    <row r="204" spans="1:18" ht="12.7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</row>
    <row r="205" spans="1:18" ht="12.7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</row>
    <row r="206" spans="1:18" ht="12.7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</row>
    <row r="207" spans="1:18" ht="12.7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</row>
    <row r="208" spans="1:18" ht="12.7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</row>
    <row r="209" spans="1:18" ht="12.7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</row>
    <row r="210" spans="1:18" ht="12.7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</row>
    <row r="211" spans="1:18" ht="12.7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</row>
    <row r="212" spans="1:18" ht="12.7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</row>
    <row r="213" spans="1:18" ht="12.7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</row>
    <row r="214" spans="1:18" ht="12.7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</row>
    <row r="215" spans="1:18" ht="12.7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</row>
    <row r="216" spans="1:18" ht="12.7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</row>
    <row r="217" spans="1:18" ht="12.7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</row>
    <row r="218" spans="1:18" ht="12.7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</row>
    <row r="219" spans="1:18" ht="12.7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</row>
    <row r="220" spans="1:18" ht="12.7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</row>
    <row r="221" spans="1:18" ht="12.7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</row>
    <row r="222" spans="1:18" ht="12.7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</row>
    <row r="223" spans="1:18" ht="12.7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</row>
    <row r="224" spans="1:18" ht="12.7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</row>
    <row r="225" spans="1:18" ht="12.7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</row>
    <row r="226" spans="1:18" ht="12.7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</row>
    <row r="227" spans="1:18" ht="12.7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</row>
    <row r="228" spans="1:18" ht="12.7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</row>
    <row r="229" spans="1:18" ht="12.7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</row>
    <row r="230" spans="1:18" ht="12.7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</row>
    <row r="231" spans="1:18" ht="12.7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</row>
    <row r="232" spans="1:18" ht="12.75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</row>
    <row r="233" spans="1:18" ht="12.7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</row>
    <row r="234" spans="1:18" ht="12.7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</row>
    <row r="235" spans="1:18" ht="12.7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</row>
    <row r="236" spans="1:18" ht="12.7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</row>
    <row r="237" spans="1:18" ht="12.7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</row>
    <row r="238" spans="1:18" ht="12.7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</row>
    <row r="239" spans="1:18" ht="12.7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</row>
    <row r="240" spans="1:18" ht="12.75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</row>
    <row r="241" spans="1:18" ht="12.7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</row>
    <row r="242" spans="1:18" ht="12.7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</row>
    <row r="243" spans="1:18" ht="12.75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</row>
    <row r="244" spans="1:18" ht="12.7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</row>
    <row r="245" spans="1:18" ht="12.7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</row>
    <row r="246" spans="1:18" ht="12.75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</row>
    <row r="247" spans="1:18" ht="12.7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</row>
    <row r="248" spans="1:18" ht="12.7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</row>
    <row r="249" spans="1:18" ht="12.75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</row>
    <row r="250" spans="1:18" ht="12.75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</row>
    <row r="251" spans="1:18" ht="12.75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</row>
    <row r="252" spans="1:18" ht="12.7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</row>
    <row r="253" spans="1:18" ht="12.7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</row>
    <row r="254" spans="1:18" ht="12.75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</row>
    <row r="255" spans="1:18" ht="12.7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</row>
    <row r="256" spans="1:18" ht="12.75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</row>
    <row r="257" spans="1:18" ht="12.75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</row>
    <row r="258" spans="1:18" ht="12.75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</row>
    <row r="259" spans="1:18" ht="12.75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</row>
    <row r="260" spans="1:18" ht="12.75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</row>
    <row r="261" spans="1:18" ht="12.75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</row>
    <row r="262" spans="1:18" ht="12.75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</row>
    <row r="263" spans="1:18" ht="12.75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</row>
    <row r="264" spans="1:18" ht="12.7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</row>
    <row r="265" spans="1:18" ht="12.75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</row>
    <row r="266" spans="1:18" ht="12.75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</row>
    <row r="267" spans="1:18" ht="12.75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</row>
    <row r="268" spans="1:18" ht="12.75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</row>
    <row r="269" spans="1:18" ht="12.75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</row>
    <row r="270" spans="1:18" ht="12.75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</row>
    <row r="271" spans="1:18" ht="12.75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</row>
    <row r="272" spans="1:18" ht="12.75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</row>
    <row r="273" spans="1:18" ht="12.75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</row>
    <row r="274" spans="1:18" ht="12.75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</row>
    <row r="275" spans="1:18" ht="12.75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</row>
    <row r="276" spans="1:18" ht="12.75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</row>
    <row r="277" spans="1:18" ht="12.75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</row>
    <row r="278" spans="1:18" ht="12.75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</row>
    <row r="279" spans="1:18" ht="12.75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</row>
    <row r="280" spans="1:18" ht="12.75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</row>
    <row r="281" spans="1:18" ht="12.75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</row>
    <row r="282" spans="1:18" ht="12.75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</row>
    <row r="283" spans="1:18" ht="12.75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</row>
    <row r="284" spans="1:18" ht="12.75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</row>
    <row r="285" spans="1:18" ht="12.75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</row>
    <row r="286" spans="1:18" ht="12.75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</row>
    <row r="287" spans="1:18" ht="12.75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</row>
    <row r="288" spans="1:18" ht="12.75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</row>
    <row r="289" spans="1:18" ht="12.75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</row>
    <row r="290" spans="1:18" ht="12.75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</row>
    <row r="291" spans="1:18" ht="12.75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</row>
  </sheetData>
  <mergeCells count="8">
    <mergeCell ref="A101:K101"/>
    <mergeCell ref="A2:J2"/>
    <mergeCell ref="A3:J3"/>
    <mergeCell ref="A4:J4"/>
    <mergeCell ref="H20:J20"/>
    <mergeCell ref="D20:F20"/>
    <mergeCell ref="A99:J99"/>
    <mergeCell ref="A100:J100"/>
  </mergeCells>
  <printOptions horizontalCentered="1"/>
  <pageMargins left="0.25" right="0" top="0.3" bottom="0" header="0.15" footer="0.25"/>
  <pageSetup fitToHeight="0" fitToWidth="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Gryphon Asset Management</cp:lastModifiedBy>
  <cp:lastPrinted>2007-08-29T09:52:12Z</cp:lastPrinted>
  <dcterms:created xsi:type="dcterms:W3CDTF">2000-02-14T08:00:04Z</dcterms:created>
  <dcterms:modified xsi:type="dcterms:W3CDTF">2007-08-29T10:31:00Z</dcterms:modified>
  <cp:category/>
  <cp:version/>
  <cp:contentType/>
  <cp:contentStatus/>
</cp:coreProperties>
</file>